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Questionamento 01" sheetId="2" r:id="rId5"/>
    <sheet state="visible" name="Questionamento 02" sheetId="3" r:id="rId6"/>
    <sheet state="visible" name="Questionamento 03" sheetId="4" r:id="rId7"/>
    <sheet state="visible" name="Questionamento 04" sheetId="5" r:id="rId8"/>
    <sheet state="visible" name="Questionamento 05" sheetId="6" r:id="rId9"/>
    <sheet state="visible" name="Questionamento 06" sheetId="7" r:id="rId10"/>
  </sheets>
  <definedNames>
    <definedName hidden="1" localSheetId="0" name="_xlnm._FilterDatabase">data!$A$1:$O$1001</definedName>
    <definedName hidden="1" localSheetId="1" name="_xlnm._FilterDatabase">'Questionamento 01'!$A$1:$B$1002</definedName>
  </definedNames>
  <calcPr/>
  <pivotCaches>
    <pivotCache cacheId="0" r:id="rId11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41">
      <text>
        <t xml:space="preserve">idade realeses issues
	-João Frois</t>
      </text>
    </comment>
  </commentList>
</comments>
</file>

<file path=xl/sharedStrings.xml><?xml version="1.0" encoding="utf-8"?>
<sst xmlns="http://schemas.openxmlformats.org/spreadsheetml/2006/main" count="4099" uniqueCount="3032">
  <si>
    <t>nameWithOwner</t>
  </si>
  <si>
    <t>createdAt</t>
  </si>
  <si>
    <t>updatedAt</t>
  </si>
  <si>
    <t>releases.totalCount</t>
  </si>
  <si>
    <t>primaryLanguage.name</t>
  </si>
  <si>
    <t>pullRequests.totalCount</t>
  </si>
  <si>
    <t>totalIssues.totalCount</t>
  </si>
  <si>
    <t>closedIssues.totalCount</t>
  </si>
  <si>
    <t>Data de Criação</t>
  </si>
  <si>
    <t>Hora de Criação</t>
  </si>
  <si>
    <t>Idade (Anos)</t>
  </si>
  <si>
    <t>Data do Ultimo Update</t>
  </si>
  <si>
    <t>Hora do Ultimo Update</t>
  </si>
  <si>
    <t>Tempo desde o Ultimo Update (Horas)</t>
  </si>
  <si>
    <t>Razão (Issues Fechadas por Total de Issues)</t>
  </si>
  <si>
    <t>freeCodeCamp/freeCodeCamp</t>
  </si>
  <si>
    <t>2014-12-24T17:49:19Z</t>
  </si>
  <si>
    <t>2022-08-25T14:06:59Z</t>
  </si>
  <si>
    <t>TypeScript</t>
  </si>
  <si>
    <t>996icu/996.ICU</t>
  </si>
  <si>
    <t>2019-03-26T07:31:14Z</t>
  </si>
  <si>
    <t>2022-08-25T12:57:50Z</t>
  </si>
  <si>
    <t>Não Informado</t>
  </si>
  <si>
    <t>EbookFoundation/free-programming-books</t>
  </si>
  <si>
    <t>2013-10-11T06:50:37Z</t>
  </si>
  <si>
    <t>2022-08-25T14:37:02Z</t>
  </si>
  <si>
    <t>jwasham/coding-interview-university</t>
  </si>
  <si>
    <t>2016-06-06T02:34:12Z</t>
  </si>
  <si>
    <t>2022-08-25T14:34:31Z</t>
  </si>
  <si>
    <t>sindresorhus/awesome</t>
  </si>
  <si>
    <t>2014-07-11T13:42:37Z</t>
  </si>
  <si>
    <t>2022-08-25T14:36:56Z</t>
  </si>
  <si>
    <t>kamranahmedse/developer-roadmap</t>
  </si>
  <si>
    <t>2017-03-15T13:45:52Z</t>
  </si>
  <si>
    <t>2022-08-25T14:36:40Z</t>
  </si>
  <si>
    <t>public-apis/public-apis</t>
  </si>
  <si>
    <t>2016-03-20T23:49:42Z</t>
  </si>
  <si>
    <t>2022-08-25T14:27:04Z</t>
  </si>
  <si>
    <t>Python</t>
  </si>
  <si>
    <t>vuejs/vue</t>
  </si>
  <si>
    <t>2013-07-29T03:24:51Z</t>
  </si>
  <si>
    <t>2022-08-25T14:28:57Z</t>
  </si>
  <si>
    <t>donnemartin/system-design-primer</t>
  </si>
  <si>
    <t>2017-02-26T16:15:28Z</t>
  </si>
  <si>
    <t>2022-08-25T14:21:56Z</t>
  </si>
  <si>
    <t>facebook/react</t>
  </si>
  <si>
    <t>2013-05-24T16:15:54Z</t>
  </si>
  <si>
    <t>2022-08-25T14:33:00Z</t>
  </si>
  <si>
    <t>JavaScript</t>
  </si>
  <si>
    <t>tensorflow/tensorflow</t>
  </si>
  <si>
    <t>2015-11-07T01:19:20Z</t>
  </si>
  <si>
    <t>2022-08-25T14:07:17Z</t>
  </si>
  <si>
    <t>C++</t>
  </si>
  <si>
    <t>codecrafters-io/build-your-own-x</t>
  </si>
  <si>
    <t>2018-05-09T12:03:18Z</t>
  </si>
  <si>
    <t>2022-08-25T14:25:00Z</t>
  </si>
  <si>
    <t>twbs/bootstrap</t>
  </si>
  <si>
    <t>2011-07-29T21:19:00Z</t>
  </si>
  <si>
    <t>2022-08-25T14:15:26Z</t>
  </si>
  <si>
    <t>getify/You-Dont-Know-JS</t>
  </si>
  <si>
    <t>2013-11-16T02:37:24Z</t>
  </si>
  <si>
    <t>2022-08-25T14:11:29Z</t>
  </si>
  <si>
    <t>CyC2018/CS-Notes</t>
  </si>
  <si>
    <t>2018-02-13T14:56:24Z</t>
  </si>
  <si>
    <t>2022-08-25T14:00:38Z</t>
  </si>
  <si>
    <t>ohmyzsh/ohmyzsh</t>
  </si>
  <si>
    <t>2009-08-28T18:15:37Z</t>
  </si>
  <si>
    <t>2022-08-25T14:36:13Z</t>
  </si>
  <si>
    <t>Shell</t>
  </si>
  <si>
    <t>trekhleb/javascript-algorithms</t>
  </si>
  <si>
    <t>2018-03-24T07:47:04Z</t>
  </si>
  <si>
    <t>2022-08-25T14:33:59Z</t>
  </si>
  <si>
    <t>flutter/flutter</t>
  </si>
  <si>
    <t>2015-03-06T22:54:58Z</t>
  </si>
  <si>
    <t>2022-08-25T13:09:50Z</t>
  </si>
  <si>
    <t>Dart</t>
  </si>
  <si>
    <t>TheAlgorithms/Python</t>
  </si>
  <si>
    <t>2016-07-16T09:44:01Z</t>
  </si>
  <si>
    <t>2022-08-25T14:00:45Z</t>
  </si>
  <si>
    <t>vinta/awesome-python</t>
  </si>
  <si>
    <t>2014-06-27T21:00:06Z</t>
  </si>
  <si>
    <t>2022-08-25T14:37:31Z</t>
  </si>
  <si>
    <t>github/gitignore</t>
  </si>
  <si>
    <t>2010-11-08T20:17:14Z</t>
  </si>
  <si>
    <t>2022-08-25T14:09:10Z</t>
  </si>
  <si>
    <t>torvalds/linux</t>
  </si>
  <si>
    <t>2011-09-04T22:48:12Z</t>
  </si>
  <si>
    <t>2022-08-25T14:11:30Z</t>
  </si>
  <si>
    <t>C</t>
  </si>
  <si>
    <t>microsoft/vscode</t>
  </si>
  <si>
    <t>2015-09-03T20:23:38Z</t>
  </si>
  <si>
    <t>2022-08-25T14:25:05Z</t>
  </si>
  <si>
    <t>Snailclimb/JavaGuide</t>
  </si>
  <si>
    <t>2018-05-07T13:27:00Z</t>
  </si>
  <si>
    <t>2022-08-25T12:49:06Z</t>
  </si>
  <si>
    <t>Java</t>
  </si>
  <si>
    <t>airbnb/javascript</t>
  </si>
  <si>
    <t>2012-11-01T23:13:50Z</t>
  </si>
  <si>
    <t>2022-08-25T14:16:32Z</t>
  </si>
  <si>
    <t>jackfrued/Python-100-Days</t>
  </si>
  <si>
    <t>2018-03-01T16:05:52Z</t>
  </si>
  <si>
    <t>2022-08-25T14:24:38Z</t>
  </si>
  <si>
    <t>ossu/computer-science</t>
  </si>
  <si>
    <t>2014-05-04T00:18:39Z</t>
  </si>
  <si>
    <t>2022-08-25T14:29:39Z</t>
  </si>
  <si>
    <t>ytdl-org/youtube-dl</t>
  </si>
  <si>
    <t>2010-10-31T14:35:07Z</t>
  </si>
  <si>
    <t>2022-08-25T14:21:20Z</t>
  </si>
  <si>
    <t>labuladong/fucking-algorithm</t>
  </si>
  <si>
    <t>2020-02-19T09:01:23Z</t>
  </si>
  <si>
    <t>2022-08-25T13:20:04Z</t>
  </si>
  <si>
    <t>Markdown</t>
  </si>
  <si>
    <t>jlevy/the-art-of-command-line</t>
  </si>
  <si>
    <t>2015-05-20T15:11:03Z</t>
  </si>
  <si>
    <t>2022-08-25T14:22:05Z</t>
  </si>
  <si>
    <t>facebook/react-native</t>
  </si>
  <si>
    <t>2015-01-09T18:10:16Z</t>
  </si>
  <si>
    <t>2022-08-25T14:37:17Z</t>
  </si>
  <si>
    <t>electron/electron</t>
  </si>
  <si>
    <t>2013-04-12T01:47:36Z</t>
  </si>
  <si>
    <t>2022-08-25T14:05:17Z</t>
  </si>
  <si>
    <t>golang/go</t>
  </si>
  <si>
    <t>2014-08-19T04:33:40Z</t>
  </si>
  <si>
    <t>2022-08-25T14:29:23Z</t>
  </si>
  <si>
    <t>Go</t>
  </si>
  <si>
    <t>d3/d3</t>
  </si>
  <si>
    <t>2010-09-27T17:22:42Z</t>
  </si>
  <si>
    <t>2022-08-25T14:33:51Z</t>
  </si>
  <si>
    <t>30-seconds/30-seconds-of-code</t>
  </si>
  <si>
    <t>2017-11-29T17:35:03Z</t>
  </si>
  <si>
    <t>2022-08-25T14:14:45Z</t>
  </si>
  <si>
    <t>awesome-selfhosted/awesome-selfhosted</t>
  </si>
  <si>
    <t>2015-06-01T02:33:17Z</t>
  </si>
  <si>
    <t>2022-08-25T14:34:24Z</t>
  </si>
  <si>
    <t>facebook/create-react-app</t>
  </si>
  <si>
    <t>2016-07-17T14:55:11Z</t>
  </si>
  <si>
    <t>2022-08-25T14:07:03Z</t>
  </si>
  <si>
    <t>axios/axios</t>
  </si>
  <si>
    <t>2014-08-18T22:30:27Z</t>
  </si>
  <si>
    <t>2022-08-25T14:03:27Z</t>
  </si>
  <si>
    <t>justjavac/free-programming-books-zh_CN</t>
  </si>
  <si>
    <t>2013-11-04T01:59:19Z</t>
  </si>
  <si>
    <t>2022-08-25T13:51:18Z</t>
  </si>
  <si>
    <t>vercel/next.js</t>
  </si>
  <si>
    <t>2016-10-05T23:32:51Z</t>
  </si>
  <si>
    <t>2022-08-25T14:30:12Z</t>
  </si>
  <si>
    <t>kubernetes/kubernetes</t>
  </si>
  <si>
    <t>2014-06-06T22:56:04Z</t>
  </si>
  <si>
    <t>2022-08-25T13:58:45Z</t>
  </si>
  <si>
    <t>nodejs/node</t>
  </si>
  <si>
    <t>2014-11-26T19:57:11Z</t>
  </si>
  <si>
    <t>2022-08-25T14:27:35Z</t>
  </si>
  <si>
    <t>avelino/awesome-go</t>
  </si>
  <si>
    <t>2014-07-06T13:42:15Z</t>
  </si>
  <si>
    <t>2022-08-25T14:34:27Z</t>
  </si>
  <si>
    <t>microsoft/terminal</t>
  </si>
  <si>
    <t>2017-08-11T18:38:22Z</t>
  </si>
  <si>
    <t>2022-08-25T14:07:14Z</t>
  </si>
  <si>
    <t>denoland/deno</t>
  </si>
  <si>
    <t>2018-05-15T01:34:26Z</t>
  </si>
  <si>
    <t>2022-08-25T14:30:49Z</t>
  </si>
  <si>
    <t>Rust</t>
  </si>
  <si>
    <t>mrdoob/three.js</t>
  </si>
  <si>
    <t>2010-03-23T18:58:01Z</t>
  </si>
  <si>
    <t>2022-08-25T14:16:19Z</t>
  </si>
  <si>
    <t>microsoft/TypeScript</t>
  </si>
  <si>
    <t>2014-06-17T15:28:39Z</t>
  </si>
  <si>
    <t>2022-08-25T14:16:10Z</t>
  </si>
  <si>
    <t>angular/angular</t>
  </si>
  <si>
    <t>2014-09-18T16:12:01Z</t>
  </si>
  <si>
    <t>2022-08-25T12:56:59Z</t>
  </si>
  <si>
    <t>ant-design/ant-design</t>
  </si>
  <si>
    <t>2015-04-24T15:37:24Z</t>
  </si>
  <si>
    <t>2022-08-25T13:53:50Z</t>
  </si>
  <si>
    <t>goldbergyoni/nodebestpractices</t>
  </si>
  <si>
    <t>2017-09-15T08:33:19Z</t>
  </si>
  <si>
    <t>2022-08-25T14:27:11Z</t>
  </si>
  <si>
    <t>mui/material-ui</t>
  </si>
  <si>
    <t>2014-08-18T19:11:54Z</t>
  </si>
  <si>
    <t>2022-08-25T14:34:21Z</t>
  </si>
  <si>
    <t>puppeteer/puppeteer</t>
  </si>
  <si>
    <t>2017-05-09T22:16:13Z</t>
  </si>
  <si>
    <t>2022-08-25T14:34:01Z</t>
  </si>
  <si>
    <t>PanJiaChen/vue-element-admin</t>
  </si>
  <si>
    <t>2017-04-17T03:35:49Z</t>
  </si>
  <si>
    <t>2022-08-25T14:36:25Z</t>
  </si>
  <si>
    <t>Vue</t>
  </si>
  <si>
    <t>yangshun/tech-interview-handbook</t>
  </si>
  <si>
    <t>2016-07-05T05:00:48Z</t>
  </si>
  <si>
    <t>2022-08-25T14:20:51Z</t>
  </si>
  <si>
    <t>microsoft/PowerToys</t>
  </si>
  <si>
    <t>2019-05-01T17:44:02Z</t>
  </si>
  <si>
    <t>2022-08-25T14:27:26Z</t>
  </si>
  <si>
    <t>C#</t>
  </si>
  <si>
    <t>iluwatar/java-design-patterns</t>
  </si>
  <si>
    <t>2014-08-09T16:45:18Z</t>
  </si>
  <si>
    <t>2022-08-25T13:15:01Z</t>
  </si>
  <si>
    <t>trimstray/the-book-of-secret-knowledge</t>
  </si>
  <si>
    <t>2018-06-23T10:43:14Z</t>
  </si>
  <si>
    <t>2022-08-25T14:24:19Z</t>
  </si>
  <si>
    <t>practical-tutorials/project-based-learning</t>
  </si>
  <si>
    <t>2017-04-12T05:07:46Z</t>
  </si>
  <si>
    <t>2022-08-25T14:29:51Z</t>
  </si>
  <si>
    <t>animate-css/animate.css</t>
  </si>
  <si>
    <t>2011-10-12T10:07:38Z</t>
  </si>
  <si>
    <t>2022-08-25T13:12:53Z</t>
  </si>
  <si>
    <t>CSS</t>
  </si>
  <si>
    <t>tensorflow/models</t>
  </si>
  <si>
    <t>2016-02-05T01:15:20Z</t>
  </si>
  <si>
    <t>2022-08-25T13:51:07Z</t>
  </si>
  <si>
    <t>storybookjs/storybook</t>
  </si>
  <si>
    <t>2016-03-18T04:23:44Z</t>
  </si>
  <si>
    <t>2022-08-25T14:25:30Z</t>
  </si>
  <si>
    <t>nvbn/thefuck</t>
  </si>
  <si>
    <t>2015-04-08T15:08:04Z</t>
  </si>
  <si>
    <t>2022-08-25T13:49:30Z</t>
  </si>
  <si>
    <t>ryanmcdermott/clean-code-javascript</t>
  </si>
  <si>
    <t>2016-11-25T22:25:41Z</t>
  </si>
  <si>
    <t>2022-08-25T14:27:36Z</t>
  </si>
  <si>
    <t>MisterBooo/LeetCodeAnimation</t>
  </si>
  <si>
    <t>2018-12-06T08:01:22Z</t>
  </si>
  <si>
    <t>2022-08-25T13:20:08Z</t>
  </si>
  <si>
    <t>rust-lang/rust</t>
  </si>
  <si>
    <t>2010-06-16T20:39:03Z</t>
  </si>
  <si>
    <t>2022-08-25T14:33:42Z</t>
  </si>
  <si>
    <t>laravel/laravel</t>
  </si>
  <si>
    <t>2011-06-08T03:06:08Z</t>
  </si>
  <si>
    <t>2022-08-25T14:03:21Z</t>
  </si>
  <si>
    <t>PHP</t>
  </si>
  <si>
    <t>FortAwesome/Font-Awesome</t>
  </si>
  <si>
    <t>2012-02-17T14:19:43Z</t>
  </si>
  <si>
    <t>2022-08-25T14:14:35Z</t>
  </si>
  <si>
    <t>Genymobile/scrcpy</t>
  </si>
  <si>
    <t>2017-11-21T18:00:27Z</t>
  </si>
  <si>
    <t>2022-08-25T12:35:40Z</t>
  </si>
  <si>
    <t>huggingface/transformers</t>
  </si>
  <si>
    <t>2018-10-29T13:56:00Z</t>
  </si>
  <si>
    <t>2022-08-25T14:15:58Z</t>
  </si>
  <si>
    <t>gothinkster/realworld</t>
  </si>
  <si>
    <t>2016-02-26T20:49:53Z</t>
  </si>
  <si>
    <t>2022-08-25T14:35:57Z</t>
  </si>
  <si>
    <t>vuejs/awesome-vue</t>
  </si>
  <si>
    <t>2015-10-20T00:16:14Z</t>
  </si>
  <si>
    <t>2022-08-25T12:45:04Z</t>
  </si>
  <si>
    <t>django/django</t>
  </si>
  <si>
    <t>2012-04-28T02:47:18Z</t>
  </si>
  <si>
    <t>2022-08-25T14:02:55Z</t>
  </si>
  <si>
    <t>bitcoin/bitcoin</t>
  </si>
  <si>
    <t>2010-12-19T15:16:43Z</t>
  </si>
  <si>
    <t>2022-08-25T14:20:18Z</t>
  </si>
  <si>
    <t>tonsky/FiraCode</t>
  </si>
  <si>
    <t>2014-11-11T19:32:38Z</t>
  </si>
  <si>
    <t>2022-08-25T14:36:57Z</t>
  </si>
  <si>
    <t>Clojure</t>
  </si>
  <si>
    <t>doocs/advanced-java</t>
  </si>
  <si>
    <t>2018-10-06T11:38:30Z</t>
  </si>
  <si>
    <t>2022-08-25T14:26:26Z</t>
  </si>
  <si>
    <t>moby/moby</t>
  </si>
  <si>
    <t>2013-01-18T18:10:57Z</t>
  </si>
  <si>
    <t>2022-08-25T10:40:32Z</t>
  </si>
  <si>
    <t>papers-we-love/papers-we-love</t>
  </si>
  <si>
    <t>2013-12-15T14:31:41Z</t>
  </si>
  <si>
    <t>2022-08-25T14:11:05Z</t>
  </si>
  <si>
    <t>opencv/opencv</t>
  </si>
  <si>
    <t>2012-07-19T09:40:17Z</t>
  </si>
  <si>
    <t>2022-08-25T14:10:59Z</t>
  </si>
  <si>
    <t>typicode/json-server</t>
  </si>
  <si>
    <t>2013-11-27T13:21:13Z</t>
  </si>
  <si>
    <t>2022-08-25T14:12:13Z</t>
  </si>
  <si>
    <t>spring-projects/spring-boot</t>
  </si>
  <si>
    <t>2012-10-19T15:02:57Z</t>
  </si>
  <si>
    <t>2022-08-25T14:30:25Z</t>
  </si>
  <si>
    <t>gin-gonic/gin</t>
  </si>
  <si>
    <t>2014-06-16T23:57:25Z</t>
  </si>
  <si>
    <t>2022-08-25T14:22:39Z</t>
  </si>
  <si>
    <t>sveltejs/svelte</t>
  </si>
  <si>
    <t>2016-11-20T18:13:05Z</t>
  </si>
  <si>
    <t>2022-08-25T14:26:53Z</t>
  </si>
  <si>
    <t>webpack/webpack</t>
  </si>
  <si>
    <t>2012-03-10T10:08:14Z</t>
  </si>
  <si>
    <t>2022-08-25T09:49:03Z</t>
  </si>
  <si>
    <t>hakimel/reveal.js</t>
  </si>
  <si>
    <t>2011-06-07T18:54:22Z</t>
  </si>
  <si>
    <t>2022-08-25T08:35:54Z</t>
  </si>
  <si>
    <t>thedaviddias/Front-End-Checklist</t>
  </si>
  <si>
    <t>2017-10-16T10:12:36Z</t>
  </si>
  <si>
    <t>2022-08-25T13:30:51Z</t>
  </si>
  <si>
    <t>mtdvio/every-programmer-should-know</t>
  </si>
  <si>
    <t>2017-08-24T13:18:26Z</t>
  </si>
  <si>
    <t>2022-08-25T14:14:47Z</t>
  </si>
  <si>
    <t>gohugoio/hugo</t>
  </si>
  <si>
    <t>2013-07-04T15:26:26Z</t>
  </si>
  <si>
    <t>2022-08-25T14:27:58Z</t>
  </si>
  <si>
    <t>elastic/elasticsearch</t>
  </si>
  <si>
    <t>2010-02-08T13:20:56Z</t>
  </si>
  <si>
    <t>2022-08-25T13:28:37Z</t>
  </si>
  <si>
    <t>macrozheng/mall</t>
  </si>
  <si>
    <t>2018-04-04T01:11:44Z</t>
  </si>
  <si>
    <t>2022-08-25T14:30:51Z</t>
  </si>
  <si>
    <t>nvm-sh/nvm</t>
  </si>
  <si>
    <t>2010-04-15T17:47:47Z</t>
  </si>
  <si>
    <t>2022-08-25T14:28:05Z</t>
  </si>
  <si>
    <t>apple/swift</t>
  </si>
  <si>
    <t>2015-10-23T21:15:07Z</t>
  </si>
  <si>
    <t>2022-08-25T14:21:46Z</t>
  </si>
  <si>
    <t>netdata/netdata</t>
  </si>
  <si>
    <t>2013-06-17T18:39:10Z</t>
  </si>
  <si>
    <t>2022-08-25T12:36:02Z</t>
  </si>
  <si>
    <t>pallets/flask</t>
  </si>
  <si>
    <t>2010-04-06T11:11:59Z</t>
  </si>
  <si>
    <t>2022-08-25T13:04:34Z</t>
  </si>
  <si>
    <t>tailwindlabs/tailwindcss</t>
  </si>
  <si>
    <t>2017-10-06T14:59:14Z</t>
  </si>
  <si>
    <t>2022-08-25T14:36:55Z</t>
  </si>
  <si>
    <t>angular/angular.js</t>
  </si>
  <si>
    <t>2010-01-06T00:34:37Z</t>
  </si>
  <si>
    <t>2022-08-25T13:31:59Z</t>
  </si>
  <si>
    <t>fatedier/frp</t>
  </si>
  <si>
    <t>2015-12-21T15:24:59Z</t>
  </si>
  <si>
    <t>2022-08-25T14:24:33Z</t>
  </si>
  <si>
    <t>reduxjs/redux</t>
  </si>
  <si>
    <t>2015-05-29T23:53:15Z</t>
  </si>
  <si>
    <t>2022-08-25T11:41:33Z</t>
  </si>
  <si>
    <t>521xueweihan/HelloGitHub</t>
  </si>
  <si>
    <t>2016-05-04T06:24:11Z</t>
  </si>
  <si>
    <t>2022-08-25T13:53:47Z</t>
  </si>
  <si>
    <t>atom/atom</t>
  </si>
  <si>
    <t>2012-01-20T18:18:21Z</t>
  </si>
  <si>
    <t>2022-08-25T13:46:00Z</t>
  </si>
  <si>
    <t>resume/resume.github.com</t>
  </si>
  <si>
    <t>2011-02-06T13:39:55Z</t>
  </si>
  <si>
    <t>2022-08-25T14:23:35Z</t>
  </si>
  <si>
    <t>pytorch/pytorch</t>
  </si>
  <si>
    <t>2016-08-13T05:26:41Z</t>
  </si>
  <si>
    <t>2022-08-25T14:13:20Z</t>
  </si>
  <si>
    <t>expressjs/express</t>
  </si>
  <si>
    <t>2009-06-26T18:56:01Z</t>
  </si>
  <si>
    <t>2022-08-25T14:20:32Z</t>
  </si>
  <si>
    <t>kdn251/interviews</t>
  </si>
  <si>
    <t>2017-02-14T18:19:25Z</t>
  </si>
  <si>
    <t>2022-08-25T11:55:19Z</t>
  </si>
  <si>
    <t>chartjs/Chart.js</t>
  </si>
  <si>
    <t>2013-03-17T23:56:36Z</t>
  </si>
  <si>
    <t>2022-08-25T10:13:42Z</t>
  </si>
  <si>
    <t>ripienaar/free-for-dev</t>
  </si>
  <si>
    <t>2015-03-18T21:06:26Z</t>
  </si>
  <si>
    <t>2022-08-25T14:02:43Z</t>
  </si>
  <si>
    <t>HTML</t>
  </si>
  <si>
    <t>neovim/neovim</t>
  </si>
  <si>
    <t>2014-01-31T13:39:22Z</t>
  </si>
  <si>
    <t>2022-08-25T14:35:29Z</t>
  </si>
  <si>
    <t>Vim Script</t>
  </si>
  <si>
    <t>florinpop17/app-ideas</t>
  </si>
  <si>
    <t>2019-02-25T18:36:56Z</t>
  </si>
  <si>
    <t>2022-08-25T14:35:02Z</t>
  </si>
  <si>
    <t>xingshaocheng/architect-awesome</t>
  </si>
  <si>
    <t>2018-04-06T13:30:58Z</t>
  </si>
  <si>
    <t>2022-08-25T12:50:28Z</t>
  </si>
  <si>
    <t>jquery/jquery</t>
  </si>
  <si>
    <t>2009-04-03T15:20:14Z</t>
  </si>
  <si>
    <t>2022-08-25T10:27:53Z</t>
  </si>
  <si>
    <t>socketio/socket.io</t>
  </si>
  <si>
    <t>2010-03-11T18:24:48Z</t>
  </si>
  <si>
    <t>2022-08-25T14:37:45Z</t>
  </si>
  <si>
    <t>microsoft/Web-Dev-For-Beginners</t>
  </si>
  <si>
    <t>2020-11-10T02:44:00Z</t>
  </si>
  <si>
    <t>2022-08-25T14:30:20Z</t>
  </si>
  <si>
    <t>redis/redis</t>
  </si>
  <si>
    <t>2009-03-21T22:32:25Z</t>
  </si>
  <si>
    <t>2022-08-25T13:16:25Z</t>
  </si>
  <si>
    <t>adam-p/markdown-here</t>
  </si>
  <si>
    <t>2012-05-13T03:27:22Z</t>
  </si>
  <si>
    <t>2022-08-25T14:16:00Z</t>
  </si>
  <si>
    <t>coder/code-server</t>
  </si>
  <si>
    <t>2019-02-27T16:50:41Z</t>
  </si>
  <si>
    <t>2022-08-25T14:18:06Z</t>
  </si>
  <si>
    <t>keras-team/keras</t>
  </si>
  <si>
    <t>2015-03-28T00:35:42Z</t>
  </si>
  <si>
    <t>2022-08-25T14:20:29Z</t>
  </si>
  <si>
    <t>protocolbuffers/protobuf</t>
  </si>
  <si>
    <t>2014-08-26T15:52:15Z</t>
  </si>
  <si>
    <t>2022-08-25T12:40:40Z</t>
  </si>
  <si>
    <t>josephmisiti/awesome-machine-learning</t>
  </si>
  <si>
    <t>2014-07-15T19:11:19Z</t>
  </si>
  <si>
    <t>2022-08-25T13:43:04Z</t>
  </si>
  <si>
    <t>Hack-with-Github/Awesome-Hacking</t>
  </si>
  <si>
    <t>2016-03-30T15:47:10Z</t>
  </si>
  <si>
    <t>2022-08-25T14:13:14Z</t>
  </si>
  <si>
    <t>h5bp/Front-end-Developer-Interview-Questions</t>
  </si>
  <si>
    <t>2012-02-09T23:34:10Z</t>
  </si>
  <si>
    <t>2022-08-25T13:07:36Z</t>
  </si>
  <si>
    <t>Nunjucks</t>
  </si>
  <si>
    <t>shadowsocks/shadowsocks-windows</t>
  </si>
  <si>
    <t>2013-01-14T07:54:16Z</t>
  </si>
  <si>
    <t>2022-08-25T14:22:24Z</t>
  </si>
  <si>
    <t>iptv-org/iptv</t>
  </si>
  <si>
    <t>2018-11-14T22:00:57Z</t>
  </si>
  <si>
    <t>2022-08-25T13:43:54Z</t>
  </si>
  <si>
    <t>home-assistant/core</t>
  </si>
  <si>
    <t>2013-09-17T07:29:48Z</t>
  </si>
  <si>
    <t>2022-08-25T14:21:17Z</t>
  </si>
  <si>
    <t>ansible/ansible</t>
  </si>
  <si>
    <t>2012-03-06T14:58:02Z</t>
  </si>
  <si>
    <t>2022-08-25T14:37:38Z</t>
  </si>
  <si>
    <t>lodash/lodash</t>
  </si>
  <si>
    <t>2012-04-07T04:11:46Z</t>
  </si>
  <si>
    <t>2022-08-25T12:33:12Z</t>
  </si>
  <si>
    <t>kelseyhightower/nocode</t>
  </si>
  <si>
    <t>2018-02-06T23:54:00Z</t>
  </si>
  <si>
    <t>2022-08-25T14:24:42Z</t>
  </si>
  <si>
    <t>Dockerfile</t>
  </si>
  <si>
    <t>gatsbyjs/gatsby</t>
  </si>
  <si>
    <t>2015-05-21T22:43:05Z</t>
  </si>
  <si>
    <t>2022-08-25T14:05:16Z</t>
  </si>
  <si>
    <t>chrislgarry/Apollo-11</t>
  </si>
  <si>
    <t>2014-04-03T15:45:02Z</t>
  </si>
  <si>
    <t>2022-08-25T14:00:02Z</t>
  </si>
  <si>
    <t>Assembly</t>
  </si>
  <si>
    <t>h5bp/html5-boilerplate</t>
  </si>
  <si>
    <t>2010-01-24T18:03:24Z</t>
  </si>
  <si>
    <t>2022-08-25T13:26:18Z</t>
  </si>
  <si>
    <t>ElemeFE/element</t>
  </si>
  <si>
    <t>2016-09-03T06:19:26Z</t>
  </si>
  <si>
    <t>2022-08-25T13:54:07Z</t>
  </si>
  <si>
    <t>godotengine/godot</t>
  </si>
  <si>
    <t>2014-01-04T16:05:36Z</t>
  </si>
  <si>
    <t>2022-08-25T14:12:12Z</t>
  </si>
  <si>
    <t>jaywcjlove/awesome-mac</t>
  </si>
  <si>
    <t>2016-07-17T15:33:47Z</t>
  </si>
  <si>
    <t>2022-08-25T14:06:15Z</t>
  </si>
  <si>
    <t>apache/echarts</t>
  </si>
  <si>
    <t>2013-04-03T03:18:59Z</t>
  </si>
  <si>
    <t>2022-08-25T13:09:51Z</t>
  </si>
  <si>
    <t>leonardomso/33-js-concepts</t>
  </si>
  <si>
    <t>2018-09-04T13:27:04Z</t>
  </si>
  <si>
    <t>2022-08-25T13:30:52Z</t>
  </si>
  <si>
    <t>rails/rails</t>
  </si>
  <si>
    <t>2008-04-11T02:19:47Z</t>
  </si>
  <si>
    <t>2022-08-25T14:23:52Z</t>
  </si>
  <si>
    <t>Ruby</t>
  </si>
  <si>
    <t>scikit-learn/scikit-learn</t>
  </si>
  <si>
    <t>2010-08-17T09:43:38Z</t>
  </si>
  <si>
    <t>2022-08-25T14:36:17Z</t>
  </si>
  <si>
    <t>awesomedata/awesome-public-datasets</t>
  </si>
  <si>
    <t>2014-11-20T06:20:50Z</t>
  </si>
  <si>
    <t>2022-08-25T13:17:32Z</t>
  </si>
  <si>
    <t>grafana/grafana</t>
  </si>
  <si>
    <t>2013-12-11T15:59:56Z</t>
  </si>
  <si>
    <t>2022-08-25T12:52:53Z</t>
  </si>
  <si>
    <t>enaqx/awesome-react</t>
  </si>
  <si>
    <t>2014-08-06T05:31:44Z</t>
  </si>
  <si>
    <t>2022-08-25T14:11:17Z</t>
  </si>
  <si>
    <t>Semantic-Org/Semantic-UI</t>
  </si>
  <si>
    <t>2013-04-08T23:32:04Z</t>
  </si>
  <si>
    <t>nestjs/nest</t>
  </si>
  <si>
    <t>2017-02-04T20:12:52Z</t>
  </si>
  <si>
    <t>2022-08-25T14:37:50Z</t>
  </si>
  <si>
    <t>mermaid-js/mermaid</t>
  </si>
  <si>
    <t>2014-11-01T23:52:32Z</t>
  </si>
  <si>
    <t>2022-08-25T14:27:03Z</t>
  </si>
  <si>
    <t>azl397985856/leetcode</t>
  </si>
  <si>
    <t>2018-03-30T09:13:51Z</t>
  </si>
  <si>
    <t>2022-08-25T13:16:21Z</t>
  </si>
  <si>
    <t>DopplerHQ/awesome-interview-questions</t>
  </si>
  <si>
    <t>2015-11-28T09:48:17Z</t>
  </si>
  <si>
    <t>2022-08-25T14:20:47Z</t>
  </si>
  <si>
    <t>tauri-apps/tauri</t>
  </si>
  <si>
    <t>2019-07-13T09:09:37Z</t>
  </si>
  <si>
    <t>2022-08-25T14:23:11Z</t>
  </si>
  <si>
    <t>spring-projects/spring-framework</t>
  </si>
  <si>
    <t>2010-12-08T04:04:45Z</t>
  </si>
  <si>
    <t>2022-08-25T14:28:46Z</t>
  </si>
  <si>
    <t>scutan90/DeepLearning-500-questions</t>
  </si>
  <si>
    <t>2018-06-27T06:36:45Z</t>
  </si>
  <si>
    <t>tiangolo/fastapi</t>
  </si>
  <si>
    <t>2018-12-08T08:21:47Z</t>
  </si>
  <si>
    <t>necolas/normalize.css</t>
  </si>
  <si>
    <t>2011-05-04T10:20:25Z</t>
  </si>
  <si>
    <t>2022-08-25T14:30:50Z</t>
  </si>
  <si>
    <t>psf/requests</t>
  </si>
  <si>
    <t>2011-02-13T18:38:17Z</t>
  </si>
  <si>
    <t>2022-08-25T14:27:54Z</t>
  </si>
  <si>
    <t>remix-run/react-router</t>
  </si>
  <si>
    <t>2014-05-16T22:22:51Z</t>
  </si>
  <si>
    <t>2022-08-25T12:38:27Z</t>
  </si>
  <si>
    <t>ionic-team/ionic-framework</t>
  </si>
  <si>
    <t>2013-08-20T23:06:02Z</t>
  </si>
  <si>
    <t>2022-08-25T14:17:44Z</t>
  </si>
  <si>
    <t>apache/superset</t>
  </si>
  <si>
    <t>2015-07-21T18:55:34Z</t>
  </si>
  <si>
    <t>2022-08-25T14:28:04Z</t>
  </si>
  <si>
    <t>GrowingGit/GitHub-Chinese-Top-Charts</t>
  </si>
  <si>
    <t>2019-09-05T03:01:56Z</t>
  </si>
  <si>
    <t>2022-08-25T14:19:16Z</t>
  </si>
  <si>
    <t>sdmg15/Best-websites-a-programmer-should-visit</t>
  </si>
  <si>
    <t>2017-03-05T20:25:17Z</t>
  </si>
  <si>
    <t>2022-08-25T13:48:49Z</t>
  </si>
  <si>
    <t>TheAlgorithms/Java</t>
  </si>
  <si>
    <t>2016-07-16T10:21:02Z</t>
  </si>
  <si>
    <t>2022-08-25T13:10:18Z</t>
  </si>
  <si>
    <t>strapi/strapi</t>
  </si>
  <si>
    <t>2015-09-30T15:34:48Z</t>
  </si>
  <si>
    <t>2022-08-25T14:30:26Z</t>
  </si>
  <si>
    <t>python/cpython</t>
  </si>
  <si>
    <t>2017-02-10T19:23:51Z</t>
  </si>
  <si>
    <t>2022-08-25T14:29:53Z</t>
  </si>
  <si>
    <t>lydiahallie/javascript-questions</t>
  </si>
  <si>
    <t>2019-06-12T08:26:27Z</t>
  </si>
  <si>
    <t>2022-08-25T13:56:34Z</t>
  </si>
  <si>
    <t>moment/moment</t>
  </si>
  <si>
    <t>2011-03-01T02:46:06Z</t>
  </si>
  <si>
    <t>2022-08-25T13:23:40Z</t>
  </si>
  <si>
    <t>vitejs/vite</t>
  </si>
  <si>
    <t>2020-04-21T05:03:57Z</t>
  </si>
  <si>
    <t>2022-08-25T14:32:31Z</t>
  </si>
  <si>
    <t>Anduin2017/HowToCook</t>
  </si>
  <si>
    <t>2020-02-29T10:43:49Z</t>
  </si>
  <si>
    <t>junegunn/fzf</t>
  </si>
  <si>
    <t>2013-10-23T16:04:23Z</t>
  </si>
  <si>
    <t>2022-08-25T14:03:32Z</t>
  </si>
  <si>
    <t>3b1b/manim</t>
  </si>
  <si>
    <t>2015-03-22T18:50:58Z</t>
  </si>
  <si>
    <t>2022-08-25T14:14:25Z</t>
  </si>
  <si>
    <t>tesseract-ocr/tesseract</t>
  </si>
  <si>
    <t>2014-08-12T18:04:59Z</t>
  </si>
  <si>
    <t>2022-08-25T11:30:59Z</t>
  </si>
  <si>
    <t>google/material-design-icons</t>
  </si>
  <si>
    <t>2014-10-08T18:01:28Z</t>
  </si>
  <si>
    <t>2022-08-25T12:33:17Z</t>
  </si>
  <si>
    <t>ReactiveX/RxJava</t>
  </si>
  <si>
    <t>2013-01-08T20:11:48Z</t>
  </si>
  <si>
    <t>2022-08-25T09:58:20Z</t>
  </si>
  <si>
    <t>sindresorhus/awesome-nodejs</t>
  </si>
  <si>
    <t>2014-07-11T13:35:34Z</t>
  </si>
  <si>
    <t>2022-08-25T10:03:51Z</t>
  </si>
  <si>
    <t>syncthing/syncthing</t>
  </si>
  <si>
    <t>2013-11-26T09:48:21Z</t>
  </si>
  <si>
    <t>2022-08-25T12:51:11Z</t>
  </si>
  <si>
    <t>jgthms/bulma</t>
  </si>
  <si>
    <t>2016-01-23T23:48:34Z</t>
  </si>
  <si>
    <t>2022-08-25T14:18:17Z</t>
  </si>
  <si>
    <t>hoppscotch/hoppscotch</t>
  </si>
  <si>
    <t>2019-08-21T13:15:24Z</t>
  </si>
  <si>
    <t>2022-08-25T11:46:48Z</t>
  </si>
  <si>
    <t>ageitgey/face_recognition</t>
  </si>
  <si>
    <t>2017-03-03T21:52:39Z</t>
  </si>
  <si>
    <t>2022-08-25T12:07:55Z</t>
  </si>
  <si>
    <t>google/guava</t>
  </si>
  <si>
    <t>2014-05-29T16:23:17Z</t>
  </si>
  <si>
    <t>2022-08-25T12:05:18Z</t>
  </si>
  <si>
    <t>soimort/you-get</t>
  </si>
  <si>
    <t>2012-08-20T15:53:36Z</t>
  </si>
  <si>
    <t>2022-08-25T14:33:16Z</t>
  </si>
  <si>
    <t>jekyll/jekyll</t>
  </si>
  <si>
    <t>2008-10-20T06:29:03Z</t>
  </si>
  <si>
    <t>2022-08-25T12:40:59Z</t>
  </si>
  <si>
    <t>anuraghazra/github-readme-stats</t>
  </si>
  <si>
    <t>2020-07-09T10:34:22Z</t>
  </si>
  <si>
    <t>2022-08-25T14:24:23Z</t>
  </si>
  <si>
    <t>NARKOZ/hacker-scripts</t>
  </si>
  <si>
    <t>2015-11-21T19:05:09Z</t>
  </si>
  <si>
    <t>2022-08-25T11:16:24Z</t>
  </si>
  <si>
    <t>scrapy/scrapy</t>
  </si>
  <si>
    <t>2010-02-22T02:01:14Z</t>
  </si>
  <si>
    <t>2022-08-25T10:55:44Z</t>
  </si>
  <si>
    <t>prometheus/prometheus</t>
  </si>
  <si>
    <t>2012-11-24T11:14:12Z</t>
  </si>
  <si>
    <t>2022-08-25T12:36:32Z</t>
  </si>
  <si>
    <t>prettier/prettier</t>
  </si>
  <si>
    <t>2016-11-29T17:13:37Z</t>
  </si>
  <si>
    <t>wasabeef/awesome-android-ui</t>
  </si>
  <si>
    <t>2014-12-24T01:45:03Z</t>
  </si>
  <si>
    <t>2022-08-25T12:45:17Z</t>
  </si>
  <si>
    <t>bradtraversy/design-resources-for-developers</t>
  </si>
  <si>
    <t>2020-05-06T14:40:35Z</t>
  </si>
  <si>
    <t>2022-08-25T14:34:39Z</t>
  </si>
  <si>
    <t>serverless/serverless</t>
  </si>
  <si>
    <t>2015-04-21T03:48:40Z</t>
  </si>
  <si>
    <t>2022-08-25T12:28:08Z</t>
  </si>
  <si>
    <t>git/git</t>
  </si>
  <si>
    <t>2008-07-23T14:21:26Z</t>
  </si>
  <si>
    <t>2022-08-25T14:05:19Z</t>
  </si>
  <si>
    <t>localstack/localstack</t>
  </si>
  <si>
    <t>2016-10-25T23:48:03Z</t>
  </si>
  <si>
    <t>2022-08-25T14:05:28Z</t>
  </si>
  <si>
    <t>MunGell/awesome-for-beginners</t>
  </si>
  <si>
    <t>2015-10-24T19:53:36Z</t>
  </si>
  <si>
    <t>2022-08-25T13:56:21Z</t>
  </si>
  <si>
    <t>juliangarnier/anime</t>
  </si>
  <si>
    <t>2016-03-13T21:37:45Z</t>
  </si>
  <si>
    <t>2022-08-25T12:38:05Z</t>
  </si>
  <si>
    <t>meteor/meteor</t>
  </si>
  <si>
    <t>2012-01-19T01:58:17Z</t>
  </si>
  <si>
    <t>2022-08-25T13:20:00Z</t>
  </si>
  <si>
    <t>minimaxir/big-list-of-naughty-strings</t>
  </si>
  <si>
    <t>2015-08-08T20:57:20Z</t>
  </si>
  <si>
    <t>2022-08-25T07:41:23Z</t>
  </si>
  <si>
    <t>square/okhttp</t>
  </si>
  <si>
    <t>2012-07-23T13:42:55Z</t>
  </si>
  <si>
    <t>Kotlin</t>
  </si>
  <si>
    <t>fighting41love/funNLP</t>
  </si>
  <si>
    <t>2018-08-21T11:20:39Z</t>
  </si>
  <si>
    <t>2022-08-25T09:49:12Z</t>
  </si>
  <si>
    <t>JetBrains/kotlin</t>
  </si>
  <si>
    <t>2012-02-13T17:29:58Z</t>
  </si>
  <si>
    <t>2022-08-25T14:38:12Z</t>
  </si>
  <si>
    <t>ziishaned/learn-regex</t>
  </si>
  <si>
    <t>2017-07-22T12:21:03Z</t>
  </si>
  <si>
    <t>2022-08-25T14:20:11Z</t>
  </si>
  <si>
    <t>caddyserver/caddy</t>
  </si>
  <si>
    <t>2015-01-13T19:45:03Z</t>
  </si>
  <si>
    <t>2022-08-25T13:03:08Z</t>
  </si>
  <si>
    <t>Solido/awesome-flutter</t>
  </si>
  <si>
    <t>2017-05-07T11:45:27Z</t>
  </si>
  <si>
    <t>2022-08-25T13:55:36Z</t>
  </si>
  <si>
    <t>prakhar1989/awesome-courses</t>
  </si>
  <si>
    <t>2014-11-15T18:36:49Z</t>
  </si>
  <si>
    <t>2022-08-25T14:26:58Z</t>
  </si>
  <si>
    <t>aymericdamien/TensorFlow-Examples</t>
  </si>
  <si>
    <t>2015-11-11T14:21:19Z</t>
  </si>
  <si>
    <t>2022-08-25T05:24:46Z</t>
  </si>
  <si>
    <t>Jupyter Notebook</t>
  </si>
  <si>
    <t>deepfakes/faceswap</t>
  </si>
  <si>
    <t>2017-12-19T09:44:13Z</t>
  </si>
  <si>
    <t>2022-08-25T14:38:06Z</t>
  </si>
  <si>
    <t>Developer-Y/cs-video-courses</t>
  </si>
  <si>
    <t>2016-10-21T17:02:11Z</t>
  </si>
  <si>
    <t>2022-08-25T14:25:14Z</t>
  </si>
  <si>
    <t>microsoft/playwright</t>
  </si>
  <si>
    <t>2019-11-15T18:32:42Z</t>
  </si>
  <si>
    <t>ColorlibHQ/AdminLTE</t>
  </si>
  <si>
    <t>2013-12-25T02:52:40Z</t>
  </si>
  <si>
    <t>2022-08-25T13:27:36Z</t>
  </si>
  <si>
    <t>android/architecture-samples</t>
  </si>
  <si>
    <t>2016-02-05T13:42:07Z</t>
  </si>
  <si>
    <t>2022-08-25T14:04:07Z</t>
  </si>
  <si>
    <t>alacritty/alacritty</t>
  </si>
  <si>
    <t>2016-02-18T05:02:30Z</t>
  </si>
  <si>
    <t>danielmiessler/SecLists</t>
  </si>
  <si>
    <t>2012-02-19T01:30:18Z</t>
  </si>
  <si>
    <t>2022-08-25T14:33:30Z</t>
  </si>
  <si>
    <t>babel/babel</t>
  </si>
  <si>
    <t>2014-09-28T13:38:23Z</t>
  </si>
  <si>
    <t>2022-08-25T14:37:23Z</t>
  </si>
  <si>
    <t>parcel-bundler/parcel</t>
  </si>
  <si>
    <t>2017-08-07T16:36:47Z</t>
  </si>
  <si>
    <t>2022-08-25T13:52:35Z</t>
  </si>
  <si>
    <t>nuxt/nuxt.js</t>
  </si>
  <si>
    <t>2016-10-26T11:18:47Z</t>
  </si>
  <si>
    <t>2022-08-25T12:21:37Z</t>
  </si>
  <si>
    <t>etcd-io/etcd</t>
  </si>
  <si>
    <t>2013-07-06T21:57:21Z</t>
  </si>
  <si>
    <t>2022-08-25T13:14:01Z</t>
  </si>
  <si>
    <t>TryGhost/Ghost</t>
  </si>
  <si>
    <t>2013-05-04T11:09:13Z</t>
  </si>
  <si>
    <t>2022-08-25T12:56:41Z</t>
  </si>
  <si>
    <t>yarnpkg/yarn</t>
  </si>
  <si>
    <t>2016-01-19T17:39:16Z</t>
  </si>
  <si>
    <t>2022-08-25T10:36:00Z</t>
  </si>
  <si>
    <t>astaxie/build-web-application-with-golang</t>
  </si>
  <si>
    <t>2012-08-02T11:49:35Z</t>
  </si>
  <si>
    <t>2022-08-25T14:22:26Z</t>
  </si>
  <si>
    <t>gogs/gogs</t>
  </si>
  <si>
    <t>2014-02-12T01:57:08Z</t>
  </si>
  <si>
    <t>2022-08-25T14:03:13Z</t>
  </si>
  <si>
    <t>ocornut/imgui</t>
  </si>
  <si>
    <t>2014-07-21T14:29:47Z</t>
  </si>
  <si>
    <t>2022-08-25T14:14:50Z</t>
  </si>
  <si>
    <t>obsproject/obs-studio</t>
  </si>
  <si>
    <t>2013-10-01T02:40:31Z</t>
  </si>
  <si>
    <t>2022-08-25T13:59:23Z</t>
  </si>
  <si>
    <t>DefinitelyTyped/DefinitelyTyped</t>
  </si>
  <si>
    <t>2012-10-05T16:39:45Z</t>
  </si>
  <si>
    <t>2022-08-25T13:58:23Z</t>
  </si>
  <si>
    <t>swisskyrepo/PayloadsAllTheThings</t>
  </si>
  <si>
    <t>2016-10-18T07:29:07Z</t>
  </si>
  <si>
    <t>2022-08-25T14:24:21Z</t>
  </si>
  <si>
    <t>square/retrofit</t>
  </si>
  <si>
    <t>2010-09-06T21:39:43Z</t>
  </si>
  <si>
    <t>2022-08-25T09:50:25Z</t>
  </si>
  <si>
    <t>microsoft/ML-For-Beginners</t>
  </si>
  <si>
    <t>2021-03-03T01:34:05Z</t>
  </si>
  <si>
    <t>2022-08-25T14:30:06Z</t>
  </si>
  <si>
    <t>vsouza/awesome-ios</t>
  </si>
  <si>
    <t>2014-07-10T16:03:45Z</t>
  </si>
  <si>
    <t>2022-08-25T11:05:58Z</t>
  </si>
  <si>
    <t>Swift</t>
  </si>
  <si>
    <t>binhnguyennus/awesome-scalability</t>
  </si>
  <si>
    <t>2017-12-27T03:46:40Z</t>
  </si>
  <si>
    <t>2022-08-25T14:26:12Z</t>
  </si>
  <si>
    <t>v2ray/v2ray-core</t>
  </si>
  <si>
    <t>2015-09-04T11:42:53Z</t>
  </si>
  <si>
    <t>2022-08-25T14:19:01Z</t>
  </si>
  <si>
    <t>JuliaLang/julia</t>
  </si>
  <si>
    <t>2011-04-21T07:01:50Z</t>
  </si>
  <si>
    <t>2022-08-25T14:11:24Z</t>
  </si>
  <si>
    <t>Julia</t>
  </si>
  <si>
    <t>cypress-io/cypress</t>
  </si>
  <si>
    <t>2015-03-04T00:46:28Z</t>
  </si>
  <si>
    <t>2022-08-25T14:11:25Z</t>
  </si>
  <si>
    <t>iamkun/dayjs</t>
  </si>
  <si>
    <t>2018-04-10T09:26:44Z</t>
  </si>
  <si>
    <t>2022-08-25T14:04:08Z</t>
  </si>
  <si>
    <t>tldr-pages/tldr</t>
  </si>
  <si>
    <t>2013-12-08T07:34:43Z</t>
  </si>
  <si>
    <t>2022-08-25T14:29:58Z</t>
  </si>
  <si>
    <t>facebook/jest</t>
  </si>
  <si>
    <t>2013-12-10T00:18:04Z</t>
  </si>
  <si>
    <t>2022-08-25T14:07:54Z</t>
  </si>
  <si>
    <t>mozilla/pdf.js</t>
  </si>
  <si>
    <t>2011-04-26T06:32:03Z</t>
  </si>
  <si>
    <t>2022-08-25T13:50:15Z</t>
  </si>
  <si>
    <t>karan/Projects</t>
  </si>
  <si>
    <t>2013-07-04T13:37:27Z</t>
  </si>
  <si>
    <t>2022-08-25T13:15:58Z</t>
  </si>
  <si>
    <t>fffaraz/awesome-cpp</t>
  </si>
  <si>
    <t>2014-07-17T08:51:11Z</t>
  </si>
  <si>
    <t>2022-08-25T14:31:39Z</t>
  </si>
  <si>
    <t>traefik/traefik</t>
  </si>
  <si>
    <t>2015-09-13T19:04:02Z</t>
  </si>
  <si>
    <t>2022-08-25T14:22:31Z</t>
  </si>
  <si>
    <t>Textualize/rich</t>
  </si>
  <si>
    <t>2019-11-10T15:28:09Z</t>
  </si>
  <si>
    <t>2022-08-25T12:22:22Z</t>
  </si>
  <si>
    <t>k88hudson/git-flight-rules</t>
  </si>
  <si>
    <t>2014-07-22T20:35:09Z</t>
  </si>
  <si>
    <t>2022-08-25T13:15:50Z</t>
  </si>
  <si>
    <t>nwjs/nw.js</t>
  </si>
  <si>
    <t>2012-01-04T06:21:10Z</t>
  </si>
  <si>
    <t>2022-08-25T09:36:56Z</t>
  </si>
  <si>
    <t>vercel/hyper</t>
  </si>
  <si>
    <t>2016-07-01T06:01:21Z</t>
  </si>
  <si>
    <t>2022-08-25T12:24:28Z</t>
  </si>
  <si>
    <t>ethereum/go-ethereum</t>
  </si>
  <si>
    <t>2013-12-26T13:05:46Z</t>
  </si>
  <si>
    <t>2022-08-25T14:25:34Z</t>
  </si>
  <si>
    <t>x64dbg/x64dbg</t>
  </si>
  <si>
    <t>2015-04-11T20:48:23Z</t>
  </si>
  <si>
    <t>2022-08-25T03:43:06Z</t>
  </si>
  <si>
    <t>bailicangdu/vue2-elm</t>
  </si>
  <si>
    <t>2016-12-23T01:49:20Z</t>
  </si>
  <si>
    <t>2022-08-25T09:24:04Z</t>
  </si>
  <si>
    <t>algorithm-visualizer/algorithm-visualizer</t>
  </si>
  <si>
    <t>2016-05-15T00:27:45Z</t>
  </si>
  <si>
    <t>2022-08-25T13:28:38Z</t>
  </si>
  <si>
    <t>Dogfalo/materialize</t>
  </si>
  <si>
    <t>2014-09-12T19:35:38Z</t>
  </si>
  <si>
    <t>2022-08-25T13:23:45Z</t>
  </si>
  <si>
    <t>justjavac/awesome-wechat-weapp</t>
  </si>
  <si>
    <t>2016-09-22T20:04:48Z</t>
  </si>
  <si>
    <t>2022-08-25T12:28:00Z</t>
  </si>
  <si>
    <t>ventoy/Ventoy</t>
  </si>
  <si>
    <t>2020-03-10T15:19:19Z</t>
  </si>
  <si>
    <t>2022-08-25T12:50:07Z</t>
  </si>
  <si>
    <t>pi-hole/pi-hole</t>
  </si>
  <si>
    <t>2014-06-08T15:02:55Z</t>
  </si>
  <si>
    <t>2022-08-25T14:37:15Z</t>
  </si>
  <si>
    <t>Avik-Jain/100-Days-Of-ML-Code</t>
  </si>
  <si>
    <t>2018-07-05T09:11:43Z</t>
  </si>
  <si>
    <t>2022-08-25T11:47:25Z</t>
  </si>
  <si>
    <t>Alamofire/Alamofire</t>
  </si>
  <si>
    <t>2014-07-31T05:56:19Z</t>
  </si>
  <si>
    <t>2022-08-25T14:01:22Z</t>
  </si>
  <si>
    <t>supabase/supabase</t>
  </si>
  <si>
    <t>2019-10-12T05:56:49Z</t>
  </si>
  <si>
    <t>2022-08-25T14:26:40Z</t>
  </si>
  <si>
    <t>apache/dubbo</t>
  </si>
  <si>
    <t>2012-06-19T07:56:02Z</t>
  </si>
  <si>
    <t>2022-08-25T13:58:38Z</t>
  </si>
  <si>
    <t>ryanoasis/nerd-fonts</t>
  </si>
  <si>
    <t>2014-12-05T04:31:17Z</t>
  </si>
  <si>
    <t>2022-08-25T13:59:18Z</t>
  </si>
  <si>
    <t>Unitech/pm2</t>
  </si>
  <si>
    <t>2013-05-21T03:25:25Z</t>
  </si>
  <si>
    <t>2022-08-25T14:14:18Z</t>
  </si>
  <si>
    <t>Eugeny/tabby</t>
  </si>
  <si>
    <t>2016-12-23T09:06:10Z</t>
  </si>
  <si>
    <t>2022-08-25T14:37:04Z</t>
  </si>
  <si>
    <t>pixijs/pixijs</t>
  </si>
  <si>
    <t>2013-01-21T22:40:50Z</t>
  </si>
  <si>
    <t>2022-08-25T13:57:50Z</t>
  </si>
  <si>
    <t>styled-components/styled-components</t>
  </si>
  <si>
    <t>2016-08-16T06:41:32Z</t>
  </si>
  <si>
    <t>2022-08-25T14:14:04Z</t>
  </si>
  <si>
    <t>facebook/docusaurus</t>
  </si>
  <si>
    <t>2017-06-20T16:13:53Z</t>
  </si>
  <si>
    <t>2022-08-25T13:36:01Z</t>
  </si>
  <si>
    <t>chinese-poetry/chinese-poetry</t>
  </si>
  <si>
    <t>2016-09-02T03:32:25Z</t>
  </si>
  <si>
    <t>2022-08-25T14:34:46Z</t>
  </si>
  <si>
    <t>dcloudio/uni-app</t>
  </si>
  <si>
    <t>2018-07-12T08:52:39Z</t>
  </si>
  <si>
    <t>2022-08-25T12:02:29Z</t>
  </si>
  <si>
    <t>impress/impress.js</t>
  </si>
  <si>
    <t>2011-12-28T22:23:19Z</t>
  </si>
  <si>
    <t>2022-08-24T20:37:45Z</t>
  </si>
  <si>
    <t>sharkdp/bat</t>
  </si>
  <si>
    <t>2018-04-21T10:52:23Z</t>
  </si>
  <si>
    <t>2022-08-25T14:35:04Z</t>
  </si>
  <si>
    <t>tiimgreen/github-cheat-sheet</t>
  </si>
  <si>
    <t>2014-04-12T16:38:42Z</t>
  </si>
  <si>
    <t>2022-08-25T14:28:56Z</t>
  </si>
  <si>
    <t>FreeCodeCampChina/freecodecamp.cn</t>
  </si>
  <si>
    <t>2016-09-30T03:13:43Z</t>
  </si>
  <si>
    <t>2022-08-25T09:37:14Z</t>
  </si>
  <si>
    <t>FiloSottile/mkcert</t>
  </si>
  <si>
    <t>2018-06-25T05:33:03Z</t>
  </si>
  <si>
    <t>2022-08-25T14:06:05Z</t>
  </si>
  <si>
    <t>huginn/huginn</t>
  </si>
  <si>
    <t>2013-03-10T06:00:31Z</t>
  </si>
  <si>
    <t>2022-08-25T14:01:05Z</t>
  </si>
  <si>
    <t>Alvin9999/new-pac</t>
  </si>
  <si>
    <t>2016-03-23T08:43:36Z</t>
  </si>
  <si>
    <t>2022-08-25T14:17:31Z</t>
  </si>
  <si>
    <t>discourse/discourse</t>
  </si>
  <si>
    <t>2013-01-12T00:25:55Z</t>
  </si>
  <si>
    <t>2022-08-25T07:01:46Z</t>
  </si>
  <si>
    <t>CorentinJ/Real-Time-Voice-Cloning</t>
  </si>
  <si>
    <t>2019-05-26T08:56:15Z</t>
  </si>
  <si>
    <t>2022-08-25T14:24:09Z</t>
  </si>
  <si>
    <t>typescript-cheatsheets/react</t>
  </si>
  <si>
    <t>2018-06-02T04:08:16Z</t>
  </si>
  <si>
    <t>2022-08-25T14:32:57Z</t>
  </si>
  <si>
    <t>GitSquared/edex-ui</t>
  </si>
  <si>
    <t>2017-01-28T09:35:02Z</t>
  </si>
  <si>
    <t>2022-08-25T12:55:35Z</t>
  </si>
  <si>
    <t>fastlane/fastlane</t>
  </si>
  <si>
    <t>2014-12-02T17:00:38Z</t>
  </si>
  <si>
    <t>2022-08-25T07:09:00Z</t>
  </si>
  <si>
    <t>commaai/openpilot</t>
  </si>
  <si>
    <t>2016-11-24T01:33:30Z</t>
  </si>
  <si>
    <t>2022-08-25T14:07:36Z</t>
  </si>
  <si>
    <t>jakevdp/PythonDataScienceHandbook</t>
  </si>
  <si>
    <t>2016-08-10T14:24:36Z</t>
  </si>
  <si>
    <t>2022-08-25T14:11:31Z</t>
  </si>
  <si>
    <t>PhilJay/MPAndroidChart</t>
  </si>
  <si>
    <t>2014-04-25T14:29:47Z</t>
  </si>
  <si>
    <t>2022-08-25T14:24:45Z</t>
  </si>
  <si>
    <t>Leaflet/Leaflet</t>
  </si>
  <si>
    <t>2010-09-22T16:57:44Z</t>
  </si>
  <si>
    <t>ngosang/trackerslist</t>
  </si>
  <si>
    <t>2016-04-24T11:57:57Z</t>
  </si>
  <si>
    <t>2022-08-25T14:38:39Z</t>
  </si>
  <si>
    <t>marktext/marktext</t>
  </si>
  <si>
    <t>2017-11-12T16:05:25Z</t>
  </si>
  <si>
    <t>2022-08-25T13:35:00Z</t>
  </si>
  <si>
    <t>grpc/grpc</t>
  </si>
  <si>
    <t>2014-12-08T18:58:53Z</t>
  </si>
  <si>
    <t>2022-08-25T13:57:13Z</t>
  </si>
  <si>
    <t>hexojs/hexo</t>
  </si>
  <si>
    <t>2012-09-23T15:17:08Z</t>
  </si>
  <si>
    <t>2022-08-25T10:58:45Z</t>
  </si>
  <si>
    <t>isocpp/CppCoreGuidelines</t>
  </si>
  <si>
    <t>2015-08-19T20:22:52Z</t>
  </si>
  <si>
    <t>2022-08-25T13:54:53Z</t>
  </si>
  <si>
    <t>vuetifyjs/vuetify</t>
  </si>
  <si>
    <t>2016-09-12T00:39:35Z</t>
  </si>
  <si>
    <t>2022-08-25T14:16:49Z</t>
  </si>
  <si>
    <t>pandas-dev/pandas</t>
  </si>
  <si>
    <t>2010-08-24T01:37:33Z</t>
  </si>
  <si>
    <t>2022-08-25T14:22:43Z</t>
  </si>
  <si>
    <t>sherlock-project/sherlock</t>
  </si>
  <si>
    <t>2018-12-24T14:30:48Z</t>
  </si>
  <si>
    <t>2022-08-25T10:42:10Z</t>
  </si>
  <si>
    <t>yangshun/front-end-interview-handbook</t>
  </si>
  <si>
    <t>2018-01-13T19:40:08Z</t>
  </si>
  <si>
    <t>2022-08-25T14:08:03Z</t>
  </si>
  <si>
    <t>Fndroid/clash_for_windows_pkg</t>
  </si>
  <si>
    <t>2018-10-18T22:59:10Z</t>
  </si>
  <si>
    <t>2022-08-25T14:22:38Z</t>
  </si>
  <si>
    <t>dypsilon/frontend-dev-bookmarks</t>
  </si>
  <si>
    <t>2013-06-22T13:23:55Z</t>
  </si>
  <si>
    <t>2022-08-25T14:29:54Z</t>
  </si>
  <si>
    <t>faif/python-patterns</t>
  </si>
  <si>
    <t>2012-06-06T21:02:35Z</t>
  </si>
  <si>
    <t>2022-08-25T10:17:00Z</t>
  </si>
  <si>
    <t>PowerShell/PowerShell</t>
  </si>
  <si>
    <t>2016-01-13T23:41:35Z</t>
  </si>
  <si>
    <t>2022-08-25T14:32:19Z</t>
  </si>
  <si>
    <t>alex/what-happens-when</t>
  </si>
  <si>
    <t>2013-11-07T04:30:06Z</t>
  </si>
  <si>
    <t>2022-08-25T13:07:06Z</t>
  </si>
  <si>
    <t>kamranahmedse/design-patterns-for-humans</t>
  </si>
  <si>
    <t>2017-02-16T21:24:39Z</t>
  </si>
  <si>
    <t>2022-08-25T14:26:19Z</t>
  </si>
  <si>
    <t>minio/minio</t>
  </si>
  <si>
    <t>2015-01-14T19:23:58Z</t>
  </si>
  <si>
    <t>2022-08-25T14:36:29Z</t>
  </si>
  <si>
    <t>nodejs/node-v0.x-archive</t>
  </si>
  <si>
    <t>2009-05-27T16:29:46Z</t>
  </si>
  <si>
    <t>2022-08-22T11:35:57Z</t>
  </si>
  <si>
    <t>d2l-ai/d2l-zh</t>
  </si>
  <si>
    <t>2017-08-23T04:40:24Z</t>
  </si>
  <si>
    <t>2022-08-25T14:23:37Z</t>
  </si>
  <si>
    <t>slatedocs/slate</t>
  </si>
  <si>
    <t>2013-09-13T22:15:24Z</t>
  </si>
  <si>
    <t>2022-08-25T08:30:07Z</t>
  </si>
  <si>
    <t>SCSS</t>
  </si>
  <si>
    <t>iperov/DeepFaceLab</t>
  </si>
  <si>
    <t>2018-06-04T13:10:00Z</t>
  </si>
  <si>
    <t>rclone/rclone</t>
  </si>
  <si>
    <t>2014-03-16T16:19:57Z</t>
  </si>
  <si>
    <t>2022-08-25T13:31:05Z</t>
  </si>
  <si>
    <t>php/php-src</t>
  </si>
  <si>
    <t>2011-06-16T01:52:25Z</t>
  </si>
  <si>
    <t>2022-08-25T11:29:57Z</t>
  </si>
  <si>
    <t>golang-standards/project-layout</t>
  </si>
  <si>
    <t>2017-09-09T16:33:26Z</t>
  </si>
  <si>
    <t>2022-08-25T14:08:28Z</t>
  </si>
  <si>
    <t>Makefile</t>
  </si>
  <si>
    <t>0voice/interview_internal_reference</t>
  </si>
  <si>
    <t>2019-06-10T06:54:19Z</t>
  </si>
  <si>
    <t>2022-08-25T12:52:04Z</t>
  </si>
  <si>
    <t>alvarotrigo/fullPage.js</t>
  </si>
  <si>
    <t>2013-09-20T11:58:29Z</t>
  </si>
  <si>
    <t>2022-08-25T14:26:45Z</t>
  </si>
  <si>
    <t>NationalSecurityAgency/ghidra</t>
  </si>
  <si>
    <t>2019-03-01T03:27:48Z</t>
  </si>
  <si>
    <t>2022-08-25T14:16:25Z</t>
  </si>
  <si>
    <t>hashicorp/terraform</t>
  </si>
  <si>
    <t>2014-03-13T22:25:48Z</t>
  </si>
  <si>
    <t>2022-08-25T12:06:28Z</t>
  </si>
  <si>
    <t>videojs/video.js</t>
  </si>
  <si>
    <t>2010-05-14T18:45:10Z</t>
  </si>
  <si>
    <t>2022-08-25T11:17:05Z</t>
  </si>
  <si>
    <t>apachecn/ailearning</t>
  </si>
  <si>
    <t>2017-02-25T08:53:02Z</t>
  </si>
  <si>
    <t>2022-08-25T14:02:37Z</t>
  </si>
  <si>
    <t>google/zx</t>
  </si>
  <si>
    <t>2021-05-05T05:50:01Z</t>
  </si>
  <si>
    <t>2022-08-25T13:54:48Z</t>
  </si>
  <si>
    <t>apache/spark</t>
  </si>
  <si>
    <t>2014-02-25T08:00:08Z</t>
  </si>
  <si>
    <t>2022-08-25T12:58:02Z</t>
  </si>
  <si>
    <t>Scala</t>
  </si>
  <si>
    <t>adobe/brackets</t>
  </si>
  <si>
    <t>2011-12-07T21:14:40Z</t>
  </si>
  <si>
    <t>2022-08-25T03:12:46Z</t>
  </si>
  <si>
    <t>sahat/hackathon-starter</t>
  </si>
  <si>
    <t>2013-11-13T17:24:12Z</t>
  </si>
  <si>
    <t>2022-08-25T13:39:12Z</t>
  </si>
  <si>
    <t>quilljs/quill</t>
  </si>
  <si>
    <t>2012-07-30T23:23:18Z</t>
  </si>
  <si>
    <t>2022-08-25T14:17:03Z</t>
  </si>
  <si>
    <t>lerna/lerna</t>
  </si>
  <si>
    <t>2015-12-04T09:36:55Z</t>
  </si>
  <si>
    <t>2022-08-25T11:53:27Z</t>
  </si>
  <si>
    <t>wagoodman/dive</t>
  </si>
  <si>
    <t>2018-05-13T15:44:01Z</t>
  </si>
  <si>
    <t>2022-08-25T14:37:07Z</t>
  </si>
  <si>
    <t>AFNetworking/AFNetworking</t>
  </si>
  <si>
    <t>2011-05-31T21:28:44Z</t>
  </si>
  <si>
    <t>2022-08-25T12:57:19Z</t>
  </si>
  <si>
    <t>Objective-C</t>
  </si>
  <si>
    <t>akullpp/awesome-java</t>
  </si>
  <si>
    <t>2014-07-09T10:12:43Z</t>
  </si>
  <si>
    <t>2022-08-25T13:58:47Z</t>
  </si>
  <si>
    <t>shadowsocks/shadowsocks</t>
  </si>
  <si>
    <t>2012-04-20T13:10:49Z</t>
  </si>
  <si>
    <t>2022-08-25T09:19:26Z</t>
  </si>
  <si>
    <t>Homebrew/brew</t>
  </si>
  <si>
    <t>2016-03-06T05:08:38Z</t>
  </si>
  <si>
    <t>2022-08-25T13:10:40Z</t>
  </si>
  <si>
    <t>agalwood/Motrix</t>
  </si>
  <si>
    <t>2018-12-18T11:45:05Z</t>
  </si>
  <si>
    <t>2022-08-25T14:11:51Z</t>
  </si>
  <si>
    <t>airbnb/lottie-android</t>
  </si>
  <si>
    <t>2016-10-06T22:42:42Z</t>
  </si>
  <si>
    <t>2022-08-25T14:08:34Z</t>
  </si>
  <si>
    <t>floodsung/Deep-Learning-Papers-Reading-Roadmap</t>
  </si>
  <si>
    <t>2016-10-14T11:49:48Z</t>
  </si>
  <si>
    <t>2022-08-25T14:19:06Z</t>
  </si>
  <si>
    <t>koajs/koa</t>
  </si>
  <si>
    <t>2013-07-20T18:53:45Z</t>
  </si>
  <si>
    <t>2022-08-25T11:38:43Z</t>
  </si>
  <si>
    <t>evanw/esbuild</t>
  </si>
  <si>
    <t>2016-06-14T16:08:50Z</t>
  </si>
  <si>
    <t>bumptech/glide</t>
  </si>
  <si>
    <t>2013-07-08T22:52:33Z</t>
  </si>
  <si>
    <t>2022-08-25T08:35:41Z</t>
  </si>
  <si>
    <t>RocketChat/Rocket.Chat</t>
  </si>
  <si>
    <t>2015-05-19T07:36:09Z</t>
  </si>
  <si>
    <t>2022-08-25T07:20:46Z</t>
  </si>
  <si>
    <t>exacity/deeplearningbook-chinese</t>
  </si>
  <si>
    <t>2016-12-07T11:46:51Z</t>
  </si>
  <si>
    <t>2022-08-25T09:54:17Z</t>
  </si>
  <si>
    <t>TeX</t>
  </si>
  <si>
    <t>BVLC/caffe</t>
  </si>
  <si>
    <t>2013-09-12T18:39:48Z</t>
  </si>
  <si>
    <t>2022-08-25T02:15:21Z</t>
  </si>
  <si>
    <t>shadowsocks/shadowsocks-android</t>
  </si>
  <si>
    <t>2012-12-16T13:40:29Z</t>
  </si>
  <si>
    <t>2022-08-25T09:31:51Z</t>
  </si>
  <si>
    <t>Kong/kong</t>
  </si>
  <si>
    <t>2014-11-17T23:56:08Z</t>
  </si>
  <si>
    <t>2022-08-25T14:33:24Z</t>
  </si>
  <si>
    <t>Lua</t>
  </si>
  <si>
    <t>BurntSushi/ripgrep</t>
  </si>
  <si>
    <t>2016-03-11T02:02:33Z</t>
  </si>
  <si>
    <t>2022-08-25T14:35:01Z</t>
  </si>
  <si>
    <t>wg/wrk</t>
  </si>
  <si>
    <t>2012-03-20T11:12:28Z</t>
  </si>
  <si>
    <t>2022-08-25T09:15:26Z</t>
  </si>
  <si>
    <t>jgraph/drawio-desktop</t>
  </si>
  <si>
    <t>2017-05-25T20:58:42Z</t>
  </si>
  <si>
    <t>2022-08-25T13:22:11Z</t>
  </si>
  <si>
    <t>ant-design/ant-design-pro</t>
  </si>
  <si>
    <t>2017-08-25T10:40:44Z</t>
  </si>
  <si>
    <t>2022-08-25T14:35:09Z</t>
  </si>
  <si>
    <t>photonstorm/phaser</t>
  </si>
  <si>
    <t>2013-04-12T12:27:51Z</t>
  </si>
  <si>
    <t>2022-08-25T12:29:14Z</t>
  </si>
  <si>
    <t>preactjs/preact</t>
  </si>
  <si>
    <t>2015-09-11T02:40:18Z</t>
  </si>
  <si>
    <t>2022-08-25T13:37:26Z</t>
  </si>
  <si>
    <t>oven-sh/bun</t>
  </si>
  <si>
    <t>2021-04-14T00:48:17Z</t>
  </si>
  <si>
    <t>2022-08-25T14:39:02Z</t>
  </si>
  <si>
    <t>Zig</t>
  </si>
  <si>
    <t>gulpjs/gulp</t>
  </si>
  <si>
    <t>2013-07-04T05:26:06Z</t>
  </si>
  <si>
    <t>2022-08-25T08:40:01Z</t>
  </si>
  <si>
    <t>zenorocha/clipboard.js</t>
  </si>
  <si>
    <t>2015-09-18T23:04:55Z</t>
  </si>
  <si>
    <t>2022-08-25T13:46:22Z</t>
  </si>
  <si>
    <t>kelseyhightower/kubernetes-the-hard-way</t>
  </si>
  <si>
    <t>2016-07-07T14:15:27Z</t>
  </si>
  <si>
    <t>2022-08-25T13:25:50Z</t>
  </si>
  <si>
    <t>open-guides/og-aws</t>
  </si>
  <si>
    <t>2016-07-13T17:30:16Z</t>
  </si>
  <si>
    <t>2022-08-25T12:16:44Z</t>
  </si>
  <si>
    <t>nolimits4web/swiper</t>
  </si>
  <si>
    <t>2012-03-14T19:11:45Z</t>
  </si>
  <si>
    <t>2022-08-25T14:28:18Z</t>
  </si>
  <si>
    <t>immutable-js/immutable-js</t>
  </si>
  <si>
    <t>2014-07-02T06:02:29Z</t>
  </si>
  <si>
    <t>2022-08-25T09:27:43Z</t>
  </si>
  <si>
    <t>vuejs/core</t>
  </si>
  <si>
    <t>2018-06-12T13:49:36Z</t>
  </si>
  <si>
    <t>2022-08-25T14:13:08Z</t>
  </si>
  <si>
    <t>pingcap/tidb</t>
  </si>
  <si>
    <t>2015-09-06T04:01:52Z</t>
  </si>
  <si>
    <t>2022-08-25T12:37:17Z</t>
  </si>
  <si>
    <t>google/material-design-lite</t>
  </si>
  <si>
    <t>2015-01-14T22:01:33Z</t>
  </si>
  <si>
    <t>2022-08-25T05:25:13Z</t>
  </si>
  <si>
    <t>excalidraw/excalidraw</t>
  </si>
  <si>
    <t>2020-01-02T01:04:43Z</t>
  </si>
  <si>
    <t>2022-08-25T14:00:58Z</t>
  </si>
  <si>
    <t>google-research/bert</t>
  </si>
  <si>
    <t>2018-10-25T22:57:34Z</t>
  </si>
  <si>
    <t>2022-08-25T14:21:32Z</t>
  </si>
  <si>
    <t>brillout/awesome-react-components</t>
  </si>
  <si>
    <t>2016-06-24T15:19:33Z</t>
  </si>
  <si>
    <t>2022-08-25T14:32:05Z</t>
  </si>
  <si>
    <t>go-gitea/gitea</t>
  </si>
  <si>
    <t>2016-11-01T02:13:26Z</t>
  </si>
  <si>
    <t>2022-08-25T14:05:48Z</t>
  </si>
  <si>
    <t>jondot/awesome-react-native</t>
  </si>
  <si>
    <t>2015-03-26T19:58:06Z</t>
  </si>
  <si>
    <t>2022-08-25T14:18:42Z</t>
  </si>
  <si>
    <t>getsentry/sentry</t>
  </si>
  <si>
    <t>2010-08-30T22:06:41Z</t>
  </si>
  <si>
    <t>2022-08-25T12:38:03Z</t>
  </si>
  <si>
    <t>serhii-londar/open-source-mac-os-apps</t>
  </si>
  <si>
    <t>2017-11-03T02:35:33Z</t>
  </si>
  <si>
    <t>2022-08-25T13:37:43Z</t>
  </si>
  <si>
    <t>eugenp/tutorials</t>
  </si>
  <si>
    <t>2013-04-29T18:26:36Z</t>
  </si>
  <si>
    <t>2022-08-25T14:19:05Z</t>
  </si>
  <si>
    <t>laurent22/joplin</t>
  </si>
  <si>
    <t>2017-01-16T21:49:41Z</t>
  </si>
  <si>
    <t>2022-08-25T13:10:06Z</t>
  </si>
  <si>
    <t>AobingJava/JavaFamily</t>
  </si>
  <si>
    <t>2019-11-12T04:26:18Z</t>
  </si>
  <si>
    <t>2022-08-25T14:08:10Z</t>
  </si>
  <si>
    <t>gorhill/uBlock</t>
  </si>
  <si>
    <t>2015-04-01T17:51:11Z</t>
  </si>
  <si>
    <t>2022-08-25T12:47:21Z</t>
  </si>
  <si>
    <t>dylanaraps/pure-bash-bible</t>
  </si>
  <si>
    <t>2018-06-13T01:39:33Z</t>
  </si>
  <si>
    <t>2022-08-25T12:32:02Z</t>
  </si>
  <si>
    <t>satwikkansal/wtfpython</t>
  </si>
  <si>
    <t>2017-08-28T20:22:19Z</t>
  </si>
  <si>
    <t>2022-08-25T13:36:31Z</t>
  </si>
  <si>
    <t>NervJS/taro</t>
  </si>
  <si>
    <t>2018-04-08T09:32:26Z</t>
  </si>
  <si>
    <t>2022-08-25T12:38:09Z</t>
  </si>
  <si>
    <t>google/styleguide</t>
  </si>
  <si>
    <t>2015-05-20T19:18:59Z</t>
  </si>
  <si>
    <t>2022-08-25T14:26:17Z</t>
  </si>
  <si>
    <t>streamich/react-use</t>
  </si>
  <si>
    <t>2018-10-27T10:16:05Z</t>
  </si>
  <si>
    <t>2022-08-25T14:33:45Z</t>
  </si>
  <si>
    <t>nlohmann/json</t>
  </si>
  <si>
    <t>2013-07-04T08:47:49Z</t>
  </si>
  <si>
    <t>2022-08-25T14:32:45Z</t>
  </si>
  <si>
    <t>2dust/v2rayN</t>
  </si>
  <si>
    <t>2019-07-30T03:47:24Z</t>
  </si>
  <si>
    <t>2022-08-25T14:20:45Z</t>
  </si>
  <si>
    <t>dkhamsing/open-source-ios-apps</t>
  </si>
  <si>
    <t>2015-01-26T23:32:34Z</t>
  </si>
  <si>
    <t>2022-08-25T13:31:21Z</t>
  </si>
  <si>
    <t>nativefier/nativefier</t>
  </si>
  <si>
    <t>2015-07-05T05:56:42Z</t>
  </si>
  <si>
    <t>2022-08-25T14:36:05Z</t>
  </si>
  <si>
    <t>skylot/jadx</t>
  </si>
  <si>
    <t>2013-03-18T17:08:21Z</t>
  </si>
  <si>
    <t>2022-08-25T14:37:36Z</t>
  </si>
  <si>
    <t>XX-net/XX-Net</t>
  </si>
  <si>
    <t>2015-01-15T09:35:51Z</t>
  </si>
  <si>
    <t>2022-08-25T12:46:26Z</t>
  </si>
  <si>
    <t>FFmpeg/FFmpeg</t>
  </si>
  <si>
    <t>2011-04-14T14:12:38Z</t>
  </si>
  <si>
    <t>2022-08-25T13:13:13Z</t>
  </si>
  <si>
    <t>geekxh/hello-algorithm</t>
  </si>
  <si>
    <t>2020-05-29T05:47:09Z</t>
  </si>
  <si>
    <t>2022-08-25T13:51:30Z</t>
  </si>
  <si>
    <t>Blankj/AndroidUtilCode</t>
  </si>
  <si>
    <t>2016-07-30T18:18:32Z</t>
  </si>
  <si>
    <t>2022-08-25T06:54:02Z</t>
  </si>
  <si>
    <t>poteto/hiring-without-whiteboards</t>
  </si>
  <si>
    <t>2017-03-15T05:09:01Z</t>
  </si>
  <si>
    <t>2022-08-25T14:38:17Z</t>
  </si>
  <si>
    <t>istio/istio</t>
  </si>
  <si>
    <t>2016-11-18T23:57:21Z</t>
  </si>
  <si>
    <t>2022-08-25T14:22:11Z</t>
  </si>
  <si>
    <t>xitu/gold-miner</t>
  </si>
  <si>
    <t>2015-11-04T03:29:13Z</t>
  </si>
  <si>
    <t>2022-08-25T03:41:46Z</t>
  </si>
  <si>
    <t>SheetJS/sheetjs</t>
  </si>
  <si>
    <t>2012-12-03T19:25:52Z</t>
  </si>
  <si>
    <t>2022-08-25T14:13:22Z</t>
  </si>
  <si>
    <t>formulahendry/955.WLB</t>
  </si>
  <si>
    <t>2019-03-27T23:53:37Z</t>
  </si>
  <si>
    <t>2022-08-25T11:23:40Z</t>
  </si>
  <si>
    <t>tabler/tabler</t>
  </si>
  <si>
    <t>2018-02-01T09:08:59Z</t>
  </si>
  <si>
    <t>2022-08-25T14:37:39Z</t>
  </si>
  <si>
    <t>blueimp/jQuery-File-Upload</t>
  </si>
  <si>
    <t>2010-12-01T15:35:32Z</t>
  </si>
  <si>
    <t>2022-08-25T03:13:50Z</t>
  </si>
  <si>
    <t>carbon-app/carbon</t>
  </si>
  <si>
    <t>2017-06-16T02:50:28Z</t>
  </si>
  <si>
    <t>2022-08-25T14:08:19Z</t>
  </si>
  <si>
    <t>jaredpalmer/formik</t>
  </si>
  <si>
    <t>2017-06-14T19:50:59Z</t>
  </si>
  <si>
    <t>2022-08-25T13:03:49Z</t>
  </si>
  <si>
    <t>iina/iina</t>
  </si>
  <si>
    <t>2016-12-19T07:18:45Z</t>
  </si>
  <si>
    <t>2022-08-25T13:10:22Z</t>
  </si>
  <si>
    <t>Trinea/android-open-project</t>
  </si>
  <si>
    <t>2014-01-05T15:20:15Z</t>
  </si>
  <si>
    <t>2022-08-25T09:34:30Z</t>
  </si>
  <si>
    <t>jgraph/drawio</t>
  </si>
  <si>
    <t>2016-09-06T12:59:15Z</t>
  </si>
  <si>
    <t>2022-08-25T13:04:40Z</t>
  </si>
  <si>
    <t>youngyangyang04/leetcode-master</t>
  </si>
  <si>
    <t>2019-12-14T12:05:42Z</t>
  </si>
  <si>
    <t>2022-08-25T14:24:59Z</t>
  </si>
  <si>
    <t>unknwon/the-way-to-go_ZH_CN</t>
  </si>
  <si>
    <t>2013-03-24T17:18:38Z</t>
  </si>
  <si>
    <t>2022-08-25T11:21:09Z</t>
  </si>
  <si>
    <t>microsoft/monaco-editor</t>
  </si>
  <si>
    <t>2016-06-07T16:56:31Z</t>
  </si>
  <si>
    <t>2022-08-25T12:25:48Z</t>
  </si>
  <si>
    <t>bilibili/ijkplayer</t>
  </si>
  <si>
    <t>2013-06-03T04:12:04Z</t>
  </si>
  <si>
    <t>2022-08-25T08:29:46Z</t>
  </si>
  <si>
    <t>yt-dlp/yt-dlp</t>
  </si>
  <si>
    <t>2020-10-26T04:22:55Z</t>
  </si>
  <si>
    <t>2022-08-25T14:37:18Z</t>
  </si>
  <si>
    <t>GokuMohandas/Made-With-ML</t>
  </si>
  <si>
    <t>2018-11-05T03:44:27Z</t>
  </si>
  <si>
    <t>2022-08-25T14:26:21Z</t>
  </si>
  <si>
    <t>testerSunshine/12306</t>
  </si>
  <si>
    <t>2017-05-17T12:23:40Z</t>
  </si>
  <si>
    <t>jeecgboot/jeecg-boot</t>
  </si>
  <si>
    <t>2018-11-26T10:40:00Z</t>
  </si>
  <si>
    <t>2022-08-25T12:37:37Z</t>
  </si>
  <si>
    <t>romkatv/powerlevel10k</t>
  </si>
  <si>
    <t>2019-02-24T19:09:45Z</t>
  </si>
  <si>
    <t>2022-08-25T14:30:07Z</t>
  </si>
  <si>
    <t>shadowsocks/ShadowsocksX-NG</t>
  </si>
  <si>
    <t>2016-06-10T11:49:00Z</t>
  </si>
  <si>
    <t>2022-08-25T09:19:42Z</t>
  </si>
  <si>
    <t>Dreamacro/clash</t>
  </si>
  <si>
    <t>2018-06-10T14:28:14Z</t>
  </si>
  <si>
    <t>2022-08-25T14:28:41Z</t>
  </si>
  <si>
    <t>google/leveldb</t>
  </si>
  <si>
    <t>2014-08-27T21:17:52Z</t>
  </si>
  <si>
    <t>2022-08-25T14:27:06Z</t>
  </si>
  <si>
    <t>alibaba/arthas</t>
  </si>
  <si>
    <t>2018-08-29T17:15:57Z</t>
  </si>
  <si>
    <t>2022-08-25T11:47:51Z</t>
  </si>
  <si>
    <t>LeCoupa/awesome-cheatsheets</t>
  </si>
  <si>
    <t>2017-11-09T02:47:15Z</t>
  </si>
  <si>
    <t>2022-08-25T13:42:27Z</t>
  </si>
  <si>
    <t>vlang/v</t>
  </si>
  <si>
    <t>2019-02-08T02:57:06Z</t>
  </si>
  <si>
    <t>2022-08-25T13:37:03Z</t>
  </si>
  <si>
    <t>V</t>
  </si>
  <si>
    <t>react-hook-form/react-hook-form</t>
  </si>
  <si>
    <t>2019-03-05T23:47:10Z</t>
  </si>
  <si>
    <t>ultralytics/yolov5</t>
  </si>
  <si>
    <t>2020-05-18T03:45:11Z</t>
  </si>
  <si>
    <t>2022-08-25T13:57:53Z</t>
  </si>
  <si>
    <t>chubin/cheat.sh</t>
  </si>
  <si>
    <t>2017-05-07T21:40:56Z</t>
  </si>
  <si>
    <t>2022-08-25T14:35:44Z</t>
  </si>
  <si>
    <t>gto76/python-cheatsheet</t>
  </si>
  <si>
    <t>2018-01-25T04:16:53Z</t>
  </si>
  <si>
    <t>2022-08-25T13:37:54Z</t>
  </si>
  <si>
    <t>zxing/zxing</t>
  </si>
  <si>
    <t>2011-10-12T14:07:27Z</t>
  </si>
  <si>
    <t>2022-08-25T14:23:56Z</t>
  </si>
  <si>
    <t>mastodon/mastodon</t>
  </si>
  <si>
    <t>2016-02-22T15:01:25Z</t>
  </si>
  <si>
    <t>2022-08-25T11:10:39Z</t>
  </si>
  <si>
    <t>netty/netty</t>
  </si>
  <si>
    <t>2010-11-09T09:22:21Z</t>
  </si>
  <si>
    <t>2022-08-25T12:59:31Z</t>
  </si>
  <si>
    <t>koalaman/shellcheck</t>
  </si>
  <si>
    <t>2012-11-17T03:15:11Z</t>
  </si>
  <si>
    <t>2022-08-25T13:04:08Z</t>
  </si>
  <si>
    <t>Haskell</t>
  </si>
  <si>
    <t>date-fns/date-fns</t>
  </si>
  <si>
    <t>2014-10-06T10:24:22Z</t>
  </si>
  <si>
    <t>2022-08-25T13:20:28Z</t>
  </si>
  <si>
    <t>cli/cli</t>
  </si>
  <si>
    <t>2019-10-03T15:24:53Z</t>
  </si>
  <si>
    <t>2022-08-25T14:37:10Z</t>
  </si>
  <si>
    <t>nocodb/nocodb</t>
  </si>
  <si>
    <t>2017-10-29T18:51:48Z</t>
  </si>
  <si>
    <t>2022-08-25T14:32:25Z</t>
  </si>
  <si>
    <t>metabase/metabase</t>
  </si>
  <si>
    <t>2015-02-02T19:25:47Z</t>
  </si>
  <si>
    <t>2022-08-25T14:28:50Z</t>
  </si>
  <si>
    <t>freeCodeCamp/devdocs</t>
  </si>
  <si>
    <t>2013-10-24T18:16:07Z</t>
  </si>
  <si>
    <t>2022-08-25T14:19:14Z</t>
  </si>
  <si>
    <t>TanStack/query</t>
  </si>
  <si>
    <t>2019-09-10T19:23:58Z</t>
  </si>
  <si>
    <t>vuejs/vue-cli</t>
  </si>
  <si>
    <t>2015-12-26T23:11:20Z</t>
  </si>
  <si>
    <t>2022-08-25T05:24:44Z</t>
  </si>
  <si>
    <t>go-gorm/gorm</t>
  </si>
  <si>
    <t>2013-10-25T08:31:38Z</t>
  </si>
  <si>
    <t>2022-08-25T12:39:24Z</t>
  </si>
  <si>
    <t>dotnet/aspnetcore</t>
  </si>
  <si>
    <t>2014-03-11T06:09:42Z</t>
  </si>
  <si>
    <t>joshbuchea/HEAD</t>
  </si>
  <si>
    <t>2016-04-20T20:05:37Z</t>
  </si>
  <si>
    <t>2022-08-24T12:35:36Z</t>
  </si>
  <si>
    <t>foundation/foundation-sites</t>
  </si>
  <si>
    <t>2011-10-13T23:05:42Z</t>
  </si>
  <si>
    <t>2022-08-24T03:19:52Z</t>
  </si>
  <si>
    <t>bayandin/awesome-awesomeness</t>
  </si>
  <si>
    <t>2014-07-08T05:44:19Z</t>
  </si>
  <si>
    <t>2022-08-25T09:05:01Z</t>
  </si>
  <si>
    <t>jesseduffield/lazygit</t>
  </si>
  <si>
    <t>2018-05-19T00:53:06Z</t>
  </si>
  <si>
    <t>2022-08-25T13:21:26Z</t>
  </si>
  <si>
    <t>certbot/certbot</t>
  </si>
  <si>
    <t>2014-11-12T02:52:20Z</t>
  </si>
  <si>
    <t>2022-08-25T07:20:14Z</t>
  </si>
  <si>
    <t>typeorm/typeorm</t>
  </si>
  <si>
    <t>2016-02-29T07:41:14Z</t>
  </si>
  <si>
    <t>2022-08-25T14:12:38Z</t>
  </si>
  <si>
    <t>fxsjy/jieba</t>
  </si>
  <si>
    <t>2012-09-29T07:52:01Z</t>
  </si>
  <si>
    <t>2022-08-25T10:34:19Z</t>
  </si>
  <si>
    <t>lukehoban/es6features</t>
  </si>
  <si>
    <t>2014-03-03T18:29:30Z</t>
  </si>
  <si>
    <t>2022-08-25T13:01:21Z</t>
  </si>
  <si>
    <t>CSSEGISandData/COVID-19</t>
  </si>
  <si>
    <t>2020-02-04T22:03:53Z</t>
  </si>
  <si>
    <t>2022-08-25T05:11:10Z</t>
  </si>
  <si>
    <t>ariya/phantomjs</t>
  </si>
  <si>
    <t>2010-12-27T08:18:58Z</t>
  </si>
  <si>
    <t>2022-08-25T14:20:39Z</t>
  </si>
  <si>
    <t>psf/black</t>
  </si>
  <si>
    <t>2018-03-14T19:54:45Z</t>
  </si>
  <si>
    <t>2022-08-25T10:30:56Z</t>
  </si>
  <si>
    <t>meilisearch/meilisearch</t>
  </si>
  <si>
    <t>2018-04-23T11:45:28Z</t>
  </si>
  <si>
    <t>junegunn/vim-plug</t>
  </si>
  <si>
    <t>2013-09-10T14:58:51Z</t>
  </si>
  <si>
    <t>2022-08-25T11:32:22Z</t>
  </si>
  <si>
    <t>rust-lang/rustlings</t>
  </si>
  <si>
    <t>2015-09-15T02:25:18Z</t>
  </si>
  <si>
    <t>2022-08-25T13:29:03Z</t>
  </si>
  <si>
    <t>beego/beego</t>
  </si>
  <si>
    <t>2012-02-29T02:32:08Z</t>
  </si>
  <si>
    <t>2022-08-25T12:37:24Z</t>
  </si>
  <si>
    <t>bregman-arie/devops-exercises</t>
  </si>
  <si>
    <t>2019-10-03T17:31:21Z</t>
  </si>
  <si>
    <t>2022-08-25T14:23:49Z</t>
  </si>
  <si>
    <t>react-boilerplate/react-boilerplate</t>
  </si>
  <si>
    <t>2015-02-18T14:36:32Z</t>
  </si>
  <si>
    <t>2022-08-25T11:42:06Z</t>
  </si>
  <si>
    <t>topjohnwu/Magisk</t>
  </si>
  <si>
    <t>2016-09-08T12:42:53Z</t>
  </si>
  <si>
    <t>2022-08-25T14:38:55Z</t>
  </si>
  <si>
    <t>iamadamdev/bypass-paywalls-chrome</t>
  </si>
  <si>
    <t>2018-04-07T20:33:19Z</t>
  </si>
  <si>
    <t>2022-08-25T13:43:27Z</t>
  </si>
  <si>
    <t>sorrycc/awesome-javascript</t>
  </si>
  <si>
    <t>2014-07-01T15:59:02Z</t>
  </si>
  <si>
    <t>2022-08-25T14:27:19Z</t>
  </si>
  <si>
    <t>mitmproxy/mitmproxy</t>
  </si>
  <si>
    <t>2010-02-16T04:10:13Z</t>
  </si>
  <si>
    <t>2022-08-25T11:20:45Z</t>
  </si>
  <si>
    <t>pyenv/pyenv</t>
  </si>
  <si>
    <t>2012-08-31T06:57:52Z</t>
  </si>
  <si>
    <t>2022-08-25T12:52:21Z</t>
  </si>
  <si>
    <t>Roff</t>
  </si>
  <si>
    <t>openai/gym</t>
  </si>
  <si>
    <t>2016-04-27T14:59:16Z</t>
  </si>
  <si>
    <t>2022-08-25T11:55:07Z</t>
  </si>
  <si>
    <t>chakra-ui/chakra-ui</t>
  </si>
  <si>
    <t>2019-08-17T14:27:54Z</t>
  </si>
  <si>
    <t>2022-08-25T12:53:44Z</t>
  </si>
  <si>
    <t>spf13/cobra</t>
  </si>
  <si>
    <t>2013-09-03T20:40:26Z</t>
  </si>
  <si>
    <t>2022-08-25T14:36:34Z</t>
  </si>
  <si>
    <t>vim/vim</t>
  </si>
  <si>
    <t>2015-08-18T21:03:56Z</t>
  </si>
  <si>
    <t>2022-08-25T14:38:41Z</t>
  </si>
  <si>
    <t>QSCTech/zju-icicles</t>
  </si>
  <si>
    <t>2016-06-28T16:17:32Z</t>
  </si>
  <si>
    <t>2022-08-25T13:36:28Z</t>
  </si>
  <si>
    <t>mathiasbynens/dotfiles</t>
  </si>
  <si>
    <t>2011-09-05T18:07:54Z</t>
  </si>
  <si>
    <t>2022-08-25T13:29:41Z</t>
  </si>
  <si>
    <t>starship/starship</t>
  </si>
  <si>
    <t>2019-04-02T03:23:12Z</t>
  </si>
  <si>
    <t>2022-08-25T14:29:19Z</t>
  </si>
  <si>
    <t>markedjs/marked</t>
  </si>
  <si>
    <t>2011-07-24T13:15:51Z</t>
  </si>
  <si>
    <t>2022-08-25T13:45:35Z</t>
  </si>
  <si>
    <t>alibaba/p3c</t>
  </si>
  <si>
    <t>2017-06-23T06:15:51Z</t>
  </si>
  <si>
    <t>2022-08-25T10:13:54Z</t>
  </si>
  <si>
    <t>rust-unofficial/awesome-rust</t>
  </si>
  <si>
    <t>2014-07-17T10:45:10Z</t>
  </si>
  <si>
    <t>2022-08-25T13:55:51Z</t>
  </si>
  <si>
    <t>rapid7/metasploit-framework</t>
  </si>
  <si>
    <t>2011-08-30T06:13:20Z</t>
  </si>
  <si>
    <t>2022-08-25T14:35:21Z</t>
  </si>
  <si>
    <t>dbeaver/dbeaver</t>
  </si>
  <si>
    <t>2015-10-21T08:26:28Z</t>
  </si>
  <si>
    <t>2022-08-25T14:29:52Z</t>
  </si>
  <si>
    <t>shengxinjing/programmer-job-blacklist</t>
  </si>
  <si>
    <t>2016-06-25T06:09:10Z</t>
  </si>
  <si>
    <t>2022-08-25T05:55:31Z</t>
  </si>
  <si>
    <t>rustdesk/rustdesk</t>
  </si>
  <si>
    <t>2020-09-28T15:36:08Z</t>
  </si>
  <si>
    <t>2022-08-25T13:53:32Z</t>
  </si>
  <si>
    <t>ityouknow/spring-boot-examples</t>
  </si>
  <si>
    <t>2016-11-05T05:32:33Z</t>
  </si>
  <si>
    <t>2022-08-25T07:53:53Z</t>
  </si>
  <si>
    <t>tastejs/todomvc</t>
  </si>
  <si>
    <t>2011-06-03T19:56:33Z</t>
  </si>
  <si>
    <t>2022-08-25T10:28:09Z</t>
  </si>
  <si>
    <t>jashkenas/backbone</t>
  </si>
  <si>
    <t>2010-09-30T19:41:28Z</t>
  </si>
  <si>
    <t>2022-08-25T13:38:28Z</t>
  </si>
  <si>
    <t>mqyqingfeng/Blog</t>
  </si>
  <si>
    <t>2017-03-13T10:04:33Z</t>
  </si>
  <si>
    <t>2022-08-25T11:38:12Z</t>
  </si>
  <si>
    <t>codepath/android_guides</t>
  </si>
  <si>
    <t>2013-06-19T10:24:45Z</t>
  </si>
  <si>
    <t>2022-08-25T08:35:23Z</t>
  </si>
  <si>
    <t>acmesh-official/acme.sh</t>
  </si>
  <si>
    <t>2015-12-26T12:56:33Z</t>
  </si>
  <si>
    <t>2022-08-25T13:18:43Z</t>
  </si>
  <si>
    <t>hasura/graphql-engine</t>
  </si>
  <si>
    <t>2018-06-18T07:57:36Z</t>
  </si>
  <si>
    <t>2022-08-25T14:23:41Z</t>
  </si>
  <si>
    <t>atlassian/react-beautiful-dnd</t>
  </si>
  <si>
    <t>2017-08-09T03:37:15Z</t>
  </si>
  <si>
    <t>2022-08-25T14:34:33Z</t>
  </si>
  <si>
    <t>square/leakcanary</t>
  </si>
  <si>
    <t>2015-04-29T23:54:16Z</t>
  </si>
  <si>
    <t>2022-08-25T13:30:06Z</t>
  </si>
  <si>
    <t>aosabook/500lines</t>
  </si>
  <si>
    <t>2013-11-04T02:02:53Z</t>
  </si>
  <si>
    <t>2022-08-25T13:39:14Z</t>
  </si>
  <si>
    <t>vuejs/vuex</t>
  </si>
  <si>
    <t>2015-07-16T04:21:26Z</t>
  </si>
  <si>
    <t>2022-08-25T09:20:06Z</t>
  </si>
  <si>
    <t>laravel/framework</t>
  </si>
  <si>
    <t>2013-01-10T21:27:28Z</t>
  </si>
  <si>
    <t>2022-08-25T13:52:13Z</t>
  </si>
  <si>
    <t>caolan/async</t>
  </si>
  <si>
    <t>2010-06-01T21:01:30Z</t>
  </si>
  <si>
    <t>2022-08-25T08:56:21Z</t>
  </si>
  <si>
    <t>kenwheeler/slick</t>
  </si>
  <si>
    <t>2014-03-24T02:10:05Z</t>
  </si>
  <si>
    <t>2022-08-25T08:32:57Z</t>
  </si>
  <si>
    <t>ReactiveX/rxjs</t>
  </si>
  <si>
    <t>2015-03-15T06:17:10Z</t>
  </si>
  <si>
    <t>2022-08-25T12:15:07Z</t>
  </si>
  <si>
    <t>amix/vimrc</t>
  </si>
  <si>
    <t>2012-05-29T16:19:29Z</t>
  </si>
  <si>
    <t>2022-08-24T20:04:00Z</t>
  </si>
  <si>
    <t>denysdovhan/wtfjs</t>
  </si>
  <si>
    <t>2017-07-14T15:42:12Z</t>
  </si>
  <si>
    <t>2022-08-25T13:35:49Z</t>
  </si>
  <si>
    <t>typicode/husky</t>
  </si>
  <si>
    <t>2014-06-23T12:14:21Z</t>
  </si>
  <si>
    <t>2022-08-25T13:50:55Z</t>
  </si>
  <si>
    <t>standard/standard</t>
  </si>
  <si>
    <t>2015-01-27T01:23:31Z</t>
  </si>
  <si>
    <t>2022-08-25T08:01:00Z</t>
  </si>
  <si>
    <t>symfony/symfony</t>
  </si>
  <si>
    <t>2010-01-04T14:21:21Z</t>
  </si>
  <si>
    <t>2022-08-25T14:33:37Z</t>
  </si>
  <si>
    <t>naptha/tesseract.js</t>
  </si>
  <si>
    <t>2015-06-24T02:49:52Z</t>
  </si>
  <si>
    <t>2022-08-25T10:33:10Z</t>
  </si>
  <si>
    <t>google/googletest</t>
  </si>
  <si>
    <t>2015-07-28T15:07:53Z</t>
  </si>
  <si>
    <t>2022-08-25T13:55:20Z</t>
  </si>
  <si>
    <t>airbnb/lottie-web</t>
  </si>
  <si>
    <t>2015-02-20T21:02:59Z</t>
  </si>
  <si>
    <t>2022-08-25T12:42:32Z</t>
  </si>
  <si>
    <t>Homebrew/legacy-homebrew</t>
  </si>
  <si>
    <t>2009-05-20T19:38:37Z</t>
  </si>
  <si>
    <t>2022-08-25T08:54:21Z</t>
  </si>
  <si>
    <t>aria2/aria2</t>
  </si>
  <si>
    <t>2010-11-27T09:41:48Z</t>
  </si>
  <si>
    <t>2022-08-25T10:14:18Z</t>
  </si>
  <si>
    <t>elsewhencode/project-guidelines</t>
  </si>
  <si>
    <t>2017-06-30T10:17:55Z</t>
  </si>
  <si>
    <t>2022-08-25T08:28:28Z</t>
  </si>
  <si>
    <t>apolloconfig/apollo</t>
  </si>
  <si>
    <t>2016-03-04T10:24:23Z</t>
  </si>
  <si>
    <t>2022-08-25T12:37:50Z</t>
  </si>
  <si>
    <t>ziadoz/awesome-php</t>
  </si>
  <si>
    <t>2013-11-26T03:14:19Z</t>
  </si>
  <si>
    <t>2022-08-25T12:00:00Z</t>
  </si>
  <si>
    <t>apache/airflow</t>
  </si>
  <si>
    <t>2015-04-13T18:04:58Z</t>
  </si>
  <si>
    <t>2022-08-25T09:51:47Z</t>
  </si>
  <si>
    <t>lib-pku/libpku</t>
  </si>
  <si>
    <t>2018-11-22T13:33:06Z</t>
  </si>
  <si>
    <t>2022-08-25T12:06:49Z</t>
  </si>
  <si>
    <t>nektos/act</t>
  </si>
  <si>
    <t>2019-01-02T19:53:43Z</t>
  </si>
  <si>
    <t>docker/compose</t>
  </si>
  <si>
    <t>2013-12-09T11:40:58Z</t>
  </si>
  <si>
    <t>2022-08-25T14:13:45Z</t>
  </si>
  <si>
    <t>Asabeneh/30-Days-Of-JavaScript</t>
  </si>
  <si>
    <t>2019-12-23T14:07:40Z</t>
  </si>
  <si>
    <t>2022-08-25T14:30:54Z</t>
  </si>
  <si>
    <t>composer/composer</t>
  </si>
  <si>
    <t>2011-06-08T08:53:00Z</t>
  </si>
  <si>
    <t>2022-08-25T11:25:29Z</t>
  </si>
  <si>
    <t>0xAX/linux-insides</t>
  </si>
  <si>
    <t>2015-01-03T18:44:57Z</t>
  </si>
  <si>
    <t>2022-08-25T10:32:33Z</t>
  </si>
  <si>
    <t>raywenderlich/swift-algorithm-club</t>
  </si>
  <si>
    <t>2016-01-26T17:56:12Z</t>
  </si>
  <si>
    <t>2022-08-25T06:57:36Z</t>
  </si>
  <si>
    <t>crossoverJie/JCSprout</t>
  </si>
  <si>
    <t>2017-12-17T09:06:50Z</t>
  </si>
  <si>
    <t>2022-08-25T12:54:58Z</t>
  </si>
  <si>
    <t>webtorrent/webtorrent</t>
  </si>
  <si>
    <t>2013-10-15T08:16:40Z</t>
  </si>
  <si>
    <t>2022-08-25T11:02:41Z</t>
  </si>
  <si>
    <t>hankcs/HanLP</t>
  </si>
  <si>
    <t>2014-10-09T06:36:16Z</t>
  </si>
  <si>
    <t>2022-08-25T14:20:28Z</t>
  </si>
  <si>
    <t>sequelize/sequelize</t>
  </si>
  <si>
    <t>2010-07-22T07:11:11Z</t>
  </si>
  <si>
    <t>2022-08-25T14:22:40Z</t>
  </si>
  <si>
    <t>postcss/postcss</t>
  </si>
  <si>
    <t>2013-09-24T23:06:48Z</t>
  </si>
  <si>
    <t>2022-08-25T08:56:56Z</t>
  </si>
  <si>
    <t>niklasvh/html2canvas</t>
  </si>
  <si>
    <t>2011-07-16T01:05:58Z</t>
  </si>
  <si>
    <t>2022-08-25T10:59:45Z</t>
  </si>
  <si>
    <t>fzaninotto/Faker</t>
  </si>
  <si>
    <t>2011-10-14T22:49:02Z</t>
  </si>
  <si>
    <t>2022-08-25T02:41:31Z</t>
  </si>
  <si>
    <t>jashkenas/underscore</t>
  </si>
  <si>
    <t>2009-10-25T18:31:06Z</t>
  </si>
  <si>
    <t>2022-08-24T07:28:23Z</t>
  </si>
  <si>
    <t>bannedbook/fanqiang</t>
  </si>
  <si>
    <t>2015-01-14T00:34:25Z</t>
  </si>
  <si>
    <t>2022-08-25T14:17:33Z</t>
  </si>
  <si>
    <t>carbon-language/carbon-lang</t>
  </si>
  <si>
    <t>2020-04-27T21:45:16Z</t>
  </si>
  <si>
    <t>2022-08-25T14:03:37Z</t>
  </si>
  <si>
    <t>Tencent/weui</t>
  </si>
  <si>
    <t>2014-12-18T04:09:54Z</t>
  </si>
  <si>
    <t>2022-08-25T12:23:49Z</t>
  </si>
  <si>
    <t>houshanren/hangzhou_house_knowledge</t>
  </si>
  <si>
    <t>2018-02-24T01:54:18Z</t>
  </si>
  <si>
    <t>2022-08-25T02:13:37Z</t>
  </si>
  <si>
    <t>xkcoding/spring-boot-demo</t>
  </si>
  <si>
    <t>2017-11-10T06:27:29Z</t>
  </si>
  <si>
    <t>2022-08-25T14:26:56Z</t>
  </si>
  <si>
    <t>layui/layui</t>
  </si>
  <si>
    <t>2015-09-22T08:12:03Z</t>
  </si>
  <si>
    <t>2022-08-25T12:38:23Z</t>
  </si>
  <si>
    <t>halfrost/LeetCode-Go</t>
  </si>
  <si>
    <t>2017-07-18T00:06:14Z</t>
  </si>
  <si>
    <t>2022-08-25T13:58:16Z</t>
  </si>
  <si>
    <t>curl/curl</t>
  </si>
  <si>
    <t>2010-03-18T22:32:22Z</t>
  </si>
  <si>
    <t>2022-08-25T14:35:39Z</t>
  </si>
  <si>
    <t>jgm/pandoc</t>
  </si>
  <si>
    <t>2010-03-20T20:34:23Z</t>
  </si>
  <si>
    <t>2022-08-25T13:43:09Z</t>
  </si>
  <si>
    <t>IanLunn/Hover</t>
  </si>
  <si>
    <t>2014-01-02T14:27:35Z</t>
  </si>
  <si>
    <t>2022-08-25T11:10:14Z</t>
  </si>
  <si>
    <t>VincentGarreau/particles.js</t>
  </si>
  <si>
    <t>2014-09-06T14:29:47Z</t>
  </si>
  <si>
    <t>2022-08-25T12:20:57Z</t>
  </si>
  <si>
    <t>AppFlowy-IO/AppFlowy</t>
  </si>
  <si>
    <t>2021-06-16T12:56:48Z</t>
  </si>
  <si>
    <t>2022-08-25T14:27:44Z</t>
  </si>
  <si>
    <t>geekcomputers/Python</t>
  </si>
  <si>
    <t>2011-11-30T09:04:08Z</t>
  </si>
  <si>
    <t>2022-08-25T14:30:34Z</t>
  </si>
  <si>
    <t>herrbischoff/awesome-macos-command-line</t>
  </si>
  <si>
    <t>2015-09-22T19:37:55Z</t>
  </si>
  <si>
    <t>2022-08-25T05:24:43Z</t>
  </si>
  <si>
    <t>ZuzooVn/machine-learning-for-software-engineers</t>
  </si>
  <si>
    <t>2016-10-09T21:20:25Z</t>
  </si>
  <si>
    <t>2022-08-25T13:26:50Z</t>
  </si>
  <si>
    <t>Advanced-Frontend/Daily-Interview-Question</t>
  </si>
  <si>
    <t>2019-01-19T10:49:00Z</t>
  </si>
  <si>
    <t>2022-08-25T12:10:01Z</t>
  </si>
  <si>
    <t>donnemartin/interactive-coding-challenges</t>
  </si>
  <si>
    <t>2015-04-28T21:36:39Z</t>
  </si>
  <si>
    <t>2022-08-25T13:45:48Z</t>
  </si>
  <si>
    <t>trailofbits/algo</t>
  </si>
  <si>
    <t>2016-05-15T03:42:48Z</t>
  </si>
  <si>
    <t>2022-08-25T01:24:55Z</t>
  </si>
  <si>
    <t>Jinja</t>
  </si>
  <si>
    <t>odoo/odoo</t>
  </si>
  <si>
    <t>2014-05-13T15:38:58Z</t>
  </si>
  <si>
    <t>2022-08-25T14:20:41Z</t>
  </si>
  <si>
    <t>tmux/tmux</t>
  </si>
  <si>
    <t>2015-06-03T23:32:55Z</t>
  </si>
  <si>
    <t>alibaba/druid</t>
  </si>
  <si>
    <t>2011-11-03T05:12:51Z</t>
  </si>
  <si>
    <t>2022-08-25T09:31:57Z</t>
  </si>
  <si>
    <t>goabstract/Awesome-Design-Tools</t>
  </si>
  <si>
    <t>2019-02-12T13:55:30Z</t>
  </si>
  <si>
    <t>2022-08-25T09:38:25Z</t>
  </si>
  <si>
    <t>nvie/gitflow</t>
  </si>
  <si>
    <t>2010-01-20T23:14:12Z</t>
  </si>
  <si>
    <t>2022-08-24T17:20:09Z</t>
  </si>
  <si>
    <t>danielgindi/Charts</t>
  </si>
  <si>
    <t>2015-03-20T10:49:12Z</t>
  </si>
  <si>
    <t>fengdu78/Coursera-ML-AndrewNg-Notes</t>
  </si>
  <si>
    <t>2017-11-04T10:04:08Z</t>
  </si>
  <si>
    <t>2022-08-25T12:35:55Z</t>
  </si>
  <si>
    <t>transloadit/uppy</t>
  </si>
  <si>
    <t>2015-11-16T12:32:33Z</t>
  </si>
  <si>
    <t>2022-08-25T06:16:38Z</t>
  </si>
  <si>
    <t>ruanyf/weekly</t>
  </si>
  <si>
    <t>2018-10-13T12:36:07Z</t>
  </si>
  <si>
    <t>2022-08-25T12:55:59Z</t>
  </si>
  <si>
    <t>JakeWharton/butterknife</t>
  </si>
  <si>
    <t>2013-03-05T08:18:59Z</t>
  </si>
  <si>
    <t>2022-08-25T07:33:28Z</t>
  </si>
  <si>
    <t>mingrammer/diagrams</t>
  </si>
  <si>
    <t>2020-02-02T15:23:24Z</t>
  </si>
  <si>
    <t>2022-08-25T14:34:08Z</t>
  </si>
  <si>
    <t>rethinkdb/rethinkdb</t>
  </si>
  <si>
    <t>2012-10-30T05:37:47Z</t>
  </si>
  <si>
    <t>2022-08-25T07:20:53Z</t>
  </si>
  <si>
    <t>mobxjs/mobx</t>
  </si>
  <si>
    <t>2015-03-14T14:31:38Z</t>
  </si>
  <si>
    <t>2022-08-25T14:27:47Z</t>
  </si>
  <si>
    <t>angular/angular-cli</t>
  </si>
  <si>
    <t>2015-06-04T19:49:37Z</t>
  </si>
  <si>
    <t>2022-08-25T13:32:12Z</t>
  </si>
  <si>
    <t>harness/drone</t>
  </si>
  <si>
    <t>2014-02-07T07:54:44Z</t>
  </si>
  <si>
    <t>2022-08-25T14:07:44Z</t>
  </si>
  <si>
    <t>request/request</t>
  </si>
  <si>
    <t>2011-01-23T01:25:14Z</t>
  </si>
  <si>
    <t>2022-08-25T14:16:36Z</t>
  </si>
  <si>
    <t>ccxt/ccxt</t>
  </si>
  <si>
    <t>2017-05-14T15:41:56Z</t>
  </si>
  <si>
    <t>2022-08-25T14:26:34Z</t>
  </si>
  <si>
    <t>huihut/interview</t>
  </si>
  <si>
    <t>2018-02-09T09:49:48Z</t>
  </si>
  <si>
    <t>2022-08-25T14:13:55Z</t>
  </si>
  <si>
    <t>microsoft/calculator</t>
  </si>
  <si>
    <t>2019-01-28T17:55:49Z</t>
  </si>
  <si>
    <t>2022-08-25T12:40:47Z</t>
  </si>
  <si>
    <t>cockroachdb/cockroach</t>
  </si>
  <si>
    <t>2014-02-06T00:18:47Z</t>
  </si>
  <si>
    <t>2022-08-25T13:07:51Z</t>
  </si>
  <si>
    <t>github/fetch</t>
  </si>
  <si>
    <t>2014-10-13T00:26:19Z</t>
  </si>
  <si>
    <t>2022-08-25T14:00:03Z</t>
  </si>
  <si>
    <t>SortableJS/Sortable</t>
  </si>
  <si>
    <t>2013-12-19T10:10:13Z</t>
  </si>
  <si>
    <t>2022-08-25T09:59:16Z</t>
  </si>
  <si>
    <t>pcottle/learnGitBranching</t>
  </si>
  <si>
    <t>2012-08-13T22:36:09Z</t>
  </si>
  <si>
    <t>2022-08-25T11:13:43Z</t>
  </si>
  <si>
    <t>select2/select2</t>
  </si>
  <si>
    <t>2012-03-04T18:43:12Z</t>
  </si>
  <si>
    <t>2022-08-24T19:12:56Z</t>
  </si>
  <si>
    <t>cheeriojs/cheerio</t>
  </si>
  <si>
    <t>2011-10-09T04:23:20Z</t>
  </si>
  <si>
    <t>2022-08-25T09:07:23Z</t>
  </si>
  <si>
    <t>geekcompany/ResumeSample</t>
  </si>
  <si>
    <t>2014-09-08T08:08:13Z</t>
  </si>
  <si>
    <t>2022-08-25T08:06:24Z</t>
  </si>
  <si>
    <t>hashicorp/vault</t>
  </si>
  <si>
    <t>2015-02-25T00:15:59Z</t>
  </si>
  <si>
    <t>2022-08-25T13:34:20Z</t>
  </si>
  <si>
    <t>Binaryify/NeteaseCloudMusicApi</t>
  </si>
  <si>
    <t>2016-06-22T11:58:03Z</t>
  </si>
  <si>
    <t>2022-08-25T12:26:00Z</t>
  </si>
  <si>
    <t>facebookresearch/Detectron</t>
  </si>
  <si>
    <t>2017-10-05T17:32:00Z</t>
  </si>
  <si>
    <t>2022-08-25T10:03:23Z</t>
  </si>
  <si>
    <t>codemirror/codemirror5</t>
  </si>
  <si>
    <t>2011-01-14T13:44:03Z</t>
  </si>
  <si>
    <t>2022-08-25T09:58:54Z</t>
  </si>
  <si>
    <t>Modernizr/Modernizr</t>
  </si>
  <si>
    <t>2009-09-25T20:13:23Z</t>
  </si>
  <si>
    <t>2022-08-24T13:36:12Z</t>
  </si>
  <si>
    <t>hashicorp/consul</t>
  </si>
  <si>
    <t>2013-11-04T22:15:27Z</t>
  </si>
  <si>
    <t>2022-08-25T11:10:33Z</t>
  </si>
  <si>
    <t>realpython/python-guide</t>
  </si>
  <si>
    <t>2011-03-15T03:24:20Z</t>
  </si>
  <si>
    <t>2022-08-25T13:20:22Z</t>
  </si>
  <si>
    <t>Batchfile</t>
  </si>
  <si>
    <t>qiurunze123/miaosha</t>
  </si>
  <si>
    <t>2018-09-14T04:36:24Z</t>
  </si>
  <si>
    <t>2022-08-25T13:53:48Z</t>
  </si>
  <si>
    <t>ianstormtaylor/slate</t>
  </si>
  <si>
    <t>2016-06-18T01:52:42Z</t>
  </si>
  <si>
    <t>2022-08-25T12:34:51Z</t>
  </si>
  <si>
    <t>proxyee-down-org/proxyee-down</t>
  </si>
  <si>
    <t>2017-10-25T10:07:27Z</t>
  </si>
  <si>
    <t>2022-08-25T13:47:05Z</t>
  </si>
  <si>
    <t>GoogleChrome/lighthouse</t>
  </si>
  <si>
    <t>2016-03-08T01:03:11Z</t>
  </si>
  <si>
    <t>2022-08-25T07:30:02Z</t>
  </si>
  <si>
    <t>PKUanonym/REKCARC-TSC-UHT</t>
  </si>
  <si>
    <t>2019-04-05T03:31:23Z</t>
  </si>
  <si>
    <t>2022-08-25T13:05:58Z</t>
  </si>
  <si>
    <t>ClickHouse/ClickHouse</t>
  </si>
  <si>
    <t>2016-06-02T08:28:18Z</t>
  </si>
  <si>
    <t>2022-08-25T13:57:06Z</t>
  </si>
  <si>
    <t>prisma/prisma</t>
  </si>
  <si>
    <t>2019-06-20T13:33:47Z</t>
  </si>
  <si>
    <t>2022-08-25T14:31:02Z</t>
  </si>
  <si>
    <t>firstcontributions/first-contributions</t>
  </si>
  <si>
    <t>2016-09-20T14:35:09Z</t>
  </si>
  <si>
    <t>JedWatson/react-select</t>
  </si>
  <si>
    <t>2014-08-26T04:27:45Z</t>
  </si>
  <si>
    <t>2022-08-25T14:10:37Z</t>
  </si>
  <si>
    <t>parallax/jsPDF</t>
  </si>
  <si>
    <t>2009-12-06T14:56:32Z</t>
  </si>
  <si>
    <t>2022-08-25T13:19:42Z</t>
  </si>
  <si>
    <t>GitbookIO/gitbook</t>
  </si>
  <si>
    <t>2014-03-31T03:01:56Z</t>
  </si>
  <si>
    <t>2022-08-25T09:05:29Z</t>
  </si>
  <si>
    <t>byoungd/English-level-up-tips</t>
  </si>
  <si>
    <t>2017-05-30T07:18:52Z</t>
  </si>
  <si>
    <t>alibaba/fastjson</t>
  </si>
  <si>
    <t>2011-11-03T06:58:52Z</t>
  </si>
  <si>
    <t>2022-08-25T09:29:50Z</t>
  </si>
  <si>
    <t>YMFE/yapi</t>
  </si>
  <si>
    <t>2016-05-30T09:09:09Z</t>
  </si>
  <si>
    <t>2022-08-25T13:39:38Z</t>
  </si>
  <si>
    <t>alibaba/easyexcel</t>
  </si>
  <si>
    <t>2018-02-06T03:14:08Z</t>
  </si>
  <si>
    <t>2022-08-25T13:59:08Z</t>
  </si>
  <si>
    <t>OAI/OpenAPI-Specification</t>
  </si>
  <si>
    <t>2014-03-03T16:53:36Z</t>
  </si>
  <si>
    <t>2022-08-25T14:12:51Z</t>
  </si>
  <si>
    <t>ajaxorg/ace</t>
  </si>
  <si>
    <t>2010-10-27T10:43:36Z</t>
  </si>
  <si>
    <t>2022-08-25T10:38:42Z</t>
  </si>
  <si>
    <t>jobbole/awesome-python-cn</t>
  </si>
  <si>
    <t>2015-11-03T09:50:50Z</t>
  </si>
  <si>
    <t>2022-08-25T10:50:16Z</t>
  </si>
  <si>
    <t>CMU-Perceptual-Computing-Lab/openpose</t>
  </si>
  <si>
    <t>2017-04-24T14:06:31Z</t>
  </si>
  <si>
    <t>2022-08-25T13:46:52Z</t>
  </si>
  <si>
    <t>ageron/handson-ml</t>
  </si>
  <si>
    <t>2016-02-16T19:48:39Z</t>
  </si>
  <si>
    <t>2022-08-25T09:43:42Z</t>
  </si>
  <si>
    <t>CamDavidsonPilon/Probabilistic-Programming-and-Bayesian-Methods-for-Hackers</t>
  </si>
  <si>
    <t>2013-01-14T15:46:28Z</t>
  </si>
  <si>
    <t>2022-08-25T11:25:55Z</t>
  </si>
  <si>
    <t>lenve/vhr</t>
  </si>
  <si>
    <t>2018-01-04T08:57:51Z</t>
  </si>
  <si>
    <t>2022-08-25T13:56:47Z</t>
  </si>
  <si>
    <t>google-research/google-research</t>
  </si>
  <si>
    <t>2018-10-04T18:42:48Z</t>
  </si>
  <si>
    <t>2022-08-25T14:21:13Z</t>
  </si>
  <si>
    <t>fastify/fastify</t>
  </si>
  <si>
    <t>2016-09-28T19:10:14Z</t>
  </si>
  <si>
    <t>Automattic/mongoose</t>
  </si>
  <si>
    <t>2010-04-06T21:39:05Z</t>
  </si>
  <si>
    <t>2022-08-25T09:25:51Z</t>
  </si>
  <si>
    <t>nylas/nylas-mail</t>
  </si>
  <si>
    <t>2014-10-16T18:29:12Z</t>
  </si>
  <si>
    <t>2022-08-25T03:15:51Z</t>
  </si>
  <si>
    <t>kubernetes/minikube</t>
  </si>
  <si>
    <t>2016-04-15T22:38:35Z</t>
  </si>
  <si>
    <t>2022-08-25T14:17:11Z</t>
  </si>
  <si>
    <t>rstacruz/nprogress</t>
  </si>
  <si>
    <t>2013-08-20T13:58:02Z</t>
  </si>
  <si>
    <t>2022-08-25T13:22:33Z</t>
  </si>
  <si>
    <t>alebcay/awesome-shell</t>
  </si>
  <si>
    <t>2014-07-07T01:57:42Z</t>
  </si>
  <si>
    <t>2022-08-25T13:28:49Z</t>
  </si>
  <si>
    <t>nagadomi/waifu2x</t>
  </si>
  <si>
    <t>2015-05-17T07:29:15Z</t>
  </si>
  <si>
    <t>2022-08-25T11:53:09Z</t>
  </si>
  <si>
    <t>yunjey/pytorch-tutorial</t>
  </si>
  <si>
    <t>2017-03-10T07:41:47Z</t>
  </si>
  <si>
    <t>2022-08-25T13:16:15Z</t>
  </si>
  <si>
    <t>sqlmapproject/sqlmap</t>
  </si>
  <si>
    <t>2012-06-26T09:52:15Z</t>
  </si>
  <si>
    <t>2022-08-25T14:14:44Z</t>
  </si>
  <si>
    <t>SeleniumHQ/selenium</t>
  </si>
  <si>
    <t>2013-01-14T21:40:56Z</t>
  </si>
  <si>
    <t>2022-08-25T13:28:56Z</t>
  </si>
  <si>
    <t>remy/nodemon</t>
  </si>
  <si>
    <t>2010-10-03T12:50:52Z</t>
  </si>
  <si>
    <t>2022-08-25T14:06:30Z</t>
  </si>
  <si>
    <t>SDWebImage/SDWebImage</t>
  </si>
  <si>
    <t>2009-09-21T17:39:19Z</t>
  </si>
  <si>
    <t>2022-08-25T09:33:03Z</t>
  </si>
  <si>
    <t>appwrite/appwrite</t>
  </si>
  <si>
    <t>2019-04-08T16:36:25Z</t>
  </si>
  <si>
    <t>2022-08-25T14:10:18Z</t>
  </si>
  <si>
    <t>sharkdp/fd</t>
  </si>
  <si>
    <t>2017-05-09T21:27:10Z</t>
  </si>
  <si>
    <t>2022-08-25T13:37:41Z</t>
  </si>
  <si>
    <t>hashicorp/vagrant</t>
  </si>
  <si>
    <t>2010-01-21T08:34:27Z</t>
  </si>
  <si>
    <t>2022-08-25T07:49:28Z</t>
  </si>
  <si>
    <t>ycm-core/YouCompleteMe</t>
  </si>
  <si>
    <t>2012-04-16T03:12:14Z</t>
  </si>
  <si>
    <t>2022-08-25T11:58:19Z</t>
  </si>
  <si>
    <t>n8n-io/n8n</t>
  </si>
  <si>
    <t>2019-06-22T09:24:21Z</t>
  </si>
  <si>
    <t>2022-08-25T14:28:13Z</t>
  </si>
  <si>
    <t>PaddlePaddle/PaddleOCR</t>
  </si>
  <si>
    <t>2020-05-08T10:38:16Z</t>
  </si>
  <si>
    <t>2022-08-25T11:09:37Z</t>
  </si>
  <si>
    <t>dwmkerr/hacker-laws</t>
  </si>
  <si>
    <t>2018-01-25T03:46:34Z</t>
  </si>
  <si>
    <t>2022-08-25T11:29:06Z</t>
  </si>
  <si>
    <t>bvaughn/react-virtualized</t>
  </si>
  <si>
    <t>2015-11-03T00:48:07Z</t>
  </si>
  <si>
    <t>2022-08-25T14:18:38Z</t>
  </si>
  <si>
    <t>wuyouzhuguli/SpringAll</t>
  </si>
  <si>
    <t>2018-05-02T02:48:44Z</t>
  </si>
  <si>
    <t>2022-08-25T14:14:00Z</t>
  </si>
  <si>
    <t>greenrobot/EventBus</t>
  </si>
  <si>
    <t>2012-07-16T16:55:40Z</t>
  </si>
  <si>
    <t>2022-08-25T06:38:56Z</t>
  </si>
  <si>
    <t>johnpapa/angular-styleguide</t>
  </si>
  <si>
    <t>2014-07-29T00:07:51Z</t>
  </si>
  <si>
    <t>2022-08-25T05:40:02Z</t>
  </si>
  <si>
    <t>explosion/spaCy</t>
  </si>
  <si>
    <t>2014-07-03T15:15:40Z</t>
  </si>
  <si>
    <t>2022-08-25T14:21:15Z</t>
  </si>
  <si>
    <t>ggreer/the_silver_searcher</t>
  </si>
  <si>
    <t>2011-11-19T19:50:47Z</t>
  </si>
  <si>
    <t>2022-08-25T06:06:04Z</t>
  </si>
  <si>
    <t>Light-City/CPlusPlusThings</t>
  </si>
  <si>
    <t>2019-07-14T08:45:45Z</t>
  </si>
  <si>
    <t>2022-08-25T14:39:34Z</t>
  </si>
  <si>
    <t>influxdata/influxdb</t>
  </si>
  <si>
    <t>2013-09-26T14:31:10Z</t>
  </si>
  <si>
    <t>2022-08-25T12:50:19Z</t>
  </si>
  <si>
    <t>encode/django-rest-framework</t>
  </si>
  <si>
    <t>2011-03-02T17:13:56Z</t>
  </si>
  <si>
    <t>2022-08-25T12:59:02Z</t>
  </si>
  <si>
    <t>iview/iview</t>
  </si>
  <si>
    <t>2016-07-28T01:52:59Z</t>
  </si>
  <si>
    <t>2022-08-25T09:52:23Z</t>
  </si>
  <si>
    <t>cmderdev/cmder</t>
  </si>
  <si>
    <t>2013-07-09T07:44:22Z</t>
  </si>
  <si>
    <t>2022-08-25T11:44:04Z</t>
  </si>
  <si>
    <t>alibaba/canal</t>
  </si>
  <si>
    <t>2013-01-13T10:59:52Z</t>
  </si>
  <si>
    <t>2022-08-25T10:50:18Z</t>
  </si>
  <si>
    <t>terryum/awesome-deep-learning-papers</t>
  </si>
  <si>
    <t>2016-06-03T06:48:30Z</t>
  </si>
  <si>
    <t>2022-08-25T13:17:59Z</t>
  </si>
  <si>
    <t>files-community/Files</t>
  </si>
  <si>
    <t>2019-01-04T18:19:14Z</t>
  </si>
  <si>
    <t>2022-08-25T14:23:54Z</t>
  </si>
  <si>
    <t>pmndrs/react-spring</t>
  </si>
  <si>
    <t>2018-03-07T15:39:32Z</t>
  </si>
  <si>
    <t>2022-08-25T12:57:23Z</t>
  </si>
  <si>
    <t>facebookresearch/fastText</t>
  </si>
  <si>
    <t>2016-07-16T13:38:42Z</t>
  </si>
  <si>
    <t>2022-08-25T11:08:36Z</t>
  </si>
  <si>
    <t>akveo/ngx-admin</t>
  </si>
  <si>
    <t>2016-05-25T10:09:03Z</t>
  </si>
  <si>
    <t>2022-08-25T12:38:37Z</t>
  </si>
  <si>
    <t>viraptor/reverse-interview</t>
  </si>
  <si>
    <t>2019-09-08T13:38:40Z</t>
  </si>
  <si>
    <t>2022-08-25T13:21:55Z</t>
  </si>
  <si>
    <t>babysor/MockingBird</t>
  </si>
  <si>
    <t>2021-08-07T03:53:39Z</t>
  </si>
  <si>
    <t>2022-08-25T14:04:01Z</t>
  </si>
  <si>
    <t>powerline/fonts</t>
  </si>
  <si>
    <t>2012-12-19T13:31:50Z</t>
  </si>
  <si>
    <t>2022-08-25T10:35:07Z</t>
  </si>
  <si>
    <t>scwang90/SmartRefreshLayout</t>
  </si>
  <si>
    <t>2017-06-02T09:52:50Z</t>
  </si>
  <si>
    <t>2022-08-24T08:00:22Z</t>
  </si>
  <si>
    <t>ibraheemdev/modern-unix</t>
  </si>
  <si>
    <t>2021-01-12T00:50:14Z</t>
  </si>
  <si>
    <t>2022-08-25T14:38:38Z</t>
  </si>
  <si>
    <t>mattermost/mattermost-server</t>
  </si>
  <si>
    <t>2015-06-15T06:50:02Z</t>
  </si>
  <si>
    <t>2022-08-25T12:58:09Z</t>
  </si>
  <si>
    <t>dromara/hutool</t>
  </si>
  <si>
    <t>2014-04-13T07:23:51Z</t>
  </si>
  <si>
    <t>2022-08-25T13:45:32Z</t>
  </si>
  <si>
    <t>alibaba/nacos</t>
  </si>
  <si>
    <t>2018-06-15T06:49:27Z</t>
  </si>
  <si>
    <t>2022-08-25T11:27:58Z</t>
  </si>
  <si>
    <t>vercel/swr</t>
  </si>
  <si>
    <t>2019-10-28T18:16:01Z</t>
  </si>
  <si>
    <t>2022-08-25T14:04:25Z</t>
  </si>
  <si>
    <t>go-kit/kit</t>
  </si>
  <si>
    <t>2015-02-03T00:01:19Z</t>
  </si>
  <si>
    <t>2022-08-25T13:55:29Z</t>
  </si>
  <si>
    <t>hollischuang/toBeTopJavaer</t>
  </si>
  <si>
    <t>2018-10-25T09:54:54Z</t>
  </si>
  <si>
    <t>2022-08-25T12:55:25Z</t>
  </si>
  <si>
    <t>balena-io/etcher</t>
  </si>
  <si>
    <t>2015-10-27T16:53:23Z</t>
  </si>
  <si>
    <t>2022-08-25T05:24:29Z</t>
  </si>
  <si>
    <t>sickcodes/Docker-OSX</t>
  </si>
  <si>
    <t>2020-06-04T11:01:37Z</t>
  </si>
  <si>
    <t>2022-08-25T13:29:32Z</t>
  </si>
  <si>
    <t>swc-project/swc</t>
  </si>
  <si>
    <t>2017-12-22T11:40:14Z</t>
  </si>
  <si>
    <t>2022-08-25T13:48:50Z</t>
  </si>
  <si>
    <t>jesseduffield/lazydocker</t>
  </si>
  <si>
    <t>2019-05-18T08:53:50Z</t>
  </si>
  <si>
    <t>2022-08-25T11:10:08Z</t>
  </si>
  <si>
    <t>labstack/echo</t>
  </si>
  <si>
    <t>2015-03-01T17:43:01Z</t>
  </si>
  <si>
    <t>2022-08-25T12:17:22Z</t>
  </si>
  <si>
    <t>cfenollosa/os-tutorial</t>
  </si>
  <si>
    <t>2014-09-29T08:39:34Z</t>
  </si>
  <si>
    <t>2022-08-25T13:41:49Z</t>
  </si>
  <si>
    <t>donnemartin/data-science-ipython-notebooks</t>
  </si>
  <si>
    <t>2015-01-23T19:38:29Z</t>
  </si>
  <si>
    <t>2022-08-25T13:34:25Z</t>
  </si>
  <si>
    <t>immerjs/immer</t>
  </si>
  <si>
    <t>2017-12-29T12:25:47Z</t>
  </si>
  <si>
    <t>2022-08-25T11:34:23Z</t>
  </si>
  <si>
    <t>dokku/dokku</t>
  </si>
  <si>
    <t>2013-06-08T10:26:57Z</t>
  </si>
  <si>
    <t>2022-08-25T14:15:00Z</t>
  </si>
  <si>
    <t>alibaba/spring-cloud-alibaba</t>
  </si>
  <si>
    <t>2017-12-01T20:49:15Z</t>
  </si>
  <si>
    <t>2022-08-25T11:05:05Z</t>
  </si>
  <si>
    <t>facebook/rocksdb</t>
  </si>
  <si>
    <t>2012-11-30T06:16:18Z</t>
  </si>
  <si>
    <t>2022-08-25T11:51:15Z</t>
  </si>
  <si>
    <t>jamiebuilds/the-super-tiny-compiler</t>
  </si>
  <si>
    <t>2016-03-11T04:19:18Z</t>
  </si>
  <si>
    <t>2022-08-25T12:36:15Z</t>
  </si>
  <si>
    <t>tj/commander.js</t>
  </si>
  <si>
    <t>2011-08-14T21:33:58Z</t>
  </si>
  <si>
    <t>mbeaudru/modern-js-cheatsheet</t>
  </si>
  <si>
    <t>2017-09-18T14:56:00Z</t>
  </si>
  <si>
    <t>2022-08-25T13:20:20Z</t>
  </si>
  <si>
    <t>halo-dev/halo</t>
  </si>
  <si>
    <t>2018-03-21T12:56:52Z</t>
  </si>
  <si>
    <t>2022-08-25T12:52:01Z</t>
  </si>
  <si>
    <t>httpie/httpie</t>
  </si>
  <si>
    <t>2012-02-25T12:39:13Z</t>
  </si>
  <si>
    <t>2022-08-25T14:35:07Z</t>
  </si>
  <si>
    <t>sudheerj/reactjs-interview-questions</t>
  </si>
  <si>
    <t>2018-05-31T17:17:01Z</t>
  </si>
  <si>
    <t>2022-08-25T14:15:17Z</t>
  </si>
  <si>
    <t>yewstack/yew</t>
  </si>
  <si>
    <t>2017-12-16T14:19:02Z</t>
  </si>
  <si>
    <t>type-challenges/type-challenges</t>
  </si>
  <si>
    <t>2020-07-23T14:33:11Z</t>
  </si>
  <si>
    <t>2022-08-25T13:49:28Z</t>
  </si>
  <si>
    <t>sindresorhus/awesome-electron</t>
  </si>
  <si>
    <t>2015-04-23T11:48:53Z</t>
  </si>
  <si>
    <t>2022-08-25T13:59:07Z</t>
  </si>
  <si>
    <t>zsh-users/zsh-autosuggestions</t>
  </si>
  <si>
    <t>2013-10-26T16:09:37Z</t>
  </si>
  <si>
    <t>2022-08-25T14:02:14Z</t>
  </si>
  <si>
    <t>pypa/pipenv</t>
  </si>
  <si>
    <t>2017-01-20T00:44:02Z</t>
  </si>
  <si>
    <t>2022-08-25T13:38:31Z</t>
  </si>
  <si>
    <t>VundleVim/Vundle.vim</t>
  </si>
  <si>
    <t>2010-10-17T23:17:53Z</t>
  </si>
  <si>
    <t>2022-08-25T10:02:01Z</t>
  </si>
  <si>
    <t>hammerjs/hammer.js</t>
  </si>
  <si>
    <t>2012-03-02T12:58:28Z</t>
  </si>
  <si>
    <t>2022-08-25T13:05:57Z</t>
  </si>
  <si>
    <t>pjreddie/darknet</t>
  </si>
  <si>
    <t>2014-04-11T07:59:16Z</t>
  </si>
  <si>
    <t>2022-08-25T14:12:52Z</t>
  </si>
  <si>
    <t>alibaba/flutter-go</t>
  </si>
  <si>
    <t>2019-01-08T09:03:40Z</t>
  </si>
  <si>
    <t>2022-08-25T12:37:38Z</t>
  </si>
  <si>
    <t>CodeHubApp/CodeHub</t>
  </si>
  <si>
    <t>2013-07-23T22:19:57Z</t>
  </si>
  <si>
    <t>2022-08-25T01:24:03Z</t>
  </si>
  <si>
    <t>dmlc/xgboost</t>
  </si>
  <si>
    <t>2014-02-06T17:28:03Z</t>
  </si>
  <si>
    <t>2022-08-25T14:21:12Z</t>
  </si>
  <si>
    <t>lovell/sharp</t>
  </si>
  <si>
    <t>2013-08-19T20:24:24Z</t>
  </si>
  <si>
    <t>2022-08-25T10:16:12Z</t>
  </si>
  <si>
    <t>freefq/free</t>
  </si>
  <si>
    <t>2020-06-07T02:48:33Z</t>
  </si>
  <si>
    <t>2022-08-25T14:35:03Z</t>
  </si>
  <si>
    <t>CymChad/BaseRecyclerViewAdapterHelper</t>
  </si>
  <si>
    <t>2016-04-10T07:40:11Z</t>
  </si>
  <si>
    <t>2022-08-25T13:29:10Z</t>
  </si>
  <si>
    <t>airbnb/lottie-ios</t>
  </si>
  <si>
    <t>2016-10-06T22:38:38Z</t>
  </si>
  <si>
    <t>2022-08-25T10:33:53Z</t>
  </si>
  <si>
    <t>gitlabhq/gitlabhq</t>
  </si>
  <si>
    <t>2011-10-02T16:25:27Z</t>
  </si>
  <si>
    <t>2022-08-25T14:01:24Z</t>
  </si>
  <si>
    <t>facebook/folly</t>
  </si>
  <si>
    <t>2012-06-01T20:49:04Z</t>
  </si>
  <si>
    <t>2022-08-25T13:43:21Z</t>
  </si>
  <si>
    <t>lukasz-madon/awesome-remote-job</t>
  </si>
  <si>
    <t>2015-01-02T00:31:34Z</t>
  </si>
  <si>
    <t>2022-08-25T07:34:06Z</t>
  </si>
  <si>
    <t>apache/kafka</t>
  </si>
  <si>
    <t>2011-08-15T18:06:16Z</t>
  </si>
  <si>
    <t>angular/components</t>
  </si>
  <si>
    <t>2016-01-04T18:50:02Z</t>
  </si>
  <si>
    <t>2022-08-25T08:37:52Z</t>
  </si>
  <si>
    <t>google/python-fire</t>
  </si>
  <si>
    <t>2017-02-21T21:35:07Z</t>
  </si>
  <si>
    <t>2022-08-25T14:06:08Z</t>
  </si>
  <si>
    <t>Netflix/Hystrix</t>
  </si>
  <si>
    <t>2012-11-19T20:14:46Z</t>
  </si>
  <si>
    <t>2022-08-25T01:20:04Z</t>
  </si>
  <si>
    <t>stedolan/jq</t>
  </si>
  <si>
    <t>2012-07-18T19:57:25Z</t>
  </si>
  <si>
    <t>2022-08-25T13:35:18Z</t>
  </si>
  <si>
    <t>doczjs/docz</t>
  </si>
  <si>
    <t>2018-03-17T04:24:10Z</t>
  </si>
  <si>
    <t>2022-08-25T10:05:01Z</t>
  </si>
  <si>
    <t>StreisandEffect/streisand</t>
  </si>
  <si>
    <t>2014-03-23T21:56:19Z</t>
  </si>
  <si>
    <t>2022-08-24T16:30:58Z</t>
  </si>
  <si>
    <t>coreybutler/nvm-windows</t>
  </si>
  <si>
    <t>2014-09-20T16:37:28Z</t>
  </si>
  <si>
    <t>2022-08-25T13:12:48Z</t>
  </si>
  <si>
    <t>vuejs/devtools</t>
  </si>
  <si>
    <t>2014-09-29T03:52:07Z</t>
  </si>
  <si>
    <t>2022-08-25T08:09:53Z</t>
  </si>
  <si>
    <t>kataras/iris</t>
  </si>
  <si>
    <t>2016-01-30T04:36:48Z</t>
  </si>
  <si>
    <t>2022-08-25T14:18:55Z</t>
  </si>
  <si>
    <t>tqdm/tqdm</t>
  </si>
  <si>
    <t>2015-06-03T13:13:14Z</t>
  </si>
  <si>
    <t>2022-08-25T13:47:30Z</t>
  </si>
  <si>
    <t>react-native-elements/react-native-elements</t>
  </si>
  <si>
    <t>2016-09-08T14:21:41Z</t>
  </si>
  <si>
    <t>2022-08-25T13:25:17Z</t>
  </si>
  <si>
    <t>signalapp/Signal-Android</t>
  </si>
  <si>
    <t>2011-12-15T20:01:12Z</t>
  </si>
  <si>
    <t>2022-08-25T13:20:59Z</t>
  </si>
  <si>
    <t>Kong/insomnia</t>
  </si>
  <si>
    <t>2016-04-23T03:54:26Z</t>
  </si>
  <si>
    <t>2022-08-25T14:31:22Z</t>
  </si>
  <si>
    <t>portainer/portainer</t>
  </si>
  <si>
    <t>2016-05-19T20:15:28Z</t>
  </si>
  <si>
    <t>seata/seata</t>
  </si>
  <si>
    <t>2018-12-28T08:37:22Z</t>
  </si>
  <si>
    <t>2022-08-25T13:06:27Z</t>
  </si>
  <si>
    <t>coolsnowwolf/lede</t>
  </si>
  <si>
    <t>2017-09-06T07:39:03Z</t>
  </si>
  <si>
    <t>2022-08-25T13:45:16Z</t>
  </si>
  <si>
    <t>fastai/fastai</t>
  </si>
  <si>
    <t>2017-09-09T17:43:36Z</t>
  </si>
  <si>
    <t>2022-08-25T09:18:05Z</t>
  </si>
  <si>
    <t>beurtschipper/Depix</t>
  </si>
  <si>
    <t>2020-12-06T12:39:08Z</t>
  </si>
  <si>
    <t>2022-08-25T11:29:00Z</t>
  </si>
  <si>
    <t>nsqio/nsq</t>
  </si>
  <si>
    <t>2012-05-12T14:37:08Z</t>
  </si>
  <si>
    <t>2022-08-25T14:38:52Z</t>
  </si>
  <si>
    <t>heartcombo/devise</t>
  </si>
  <si>
    <t>2009-09-16T12:15:12Z</t>
  </si>
  <si>
    <t>2022-08-25T13:45:12Z</t>
  </si>
  <si>
    <t>AllThingsSmitty/css-protips</t>
  </si>
  <si>
    <t>2015-08-29T12:29:03Z</t>
  </si>
  <si>
    <t>2022-08-25T14:08:02Z</t>
  </si>
  <si>
    <t>floating-ui/floating-ui</t>
  </si>
  <si>
    <t>2016-03-29T17:00:47Z</t>
  </si>
  <si>
    <t>2022-08-25T14:33:33Z</t>
  </si>
  <si>
    <t>veggiemonk/awesome-docker</t>
  </si>
  <si>
    <t>2014-09-21T17:01:48Z</t>
  </si>
  <si>
    <t>2022-08-25T12:58:44Z</t>
  </si>
  <si>
    <t>emscripten-core/emscripten</t>
  </si>
  <si>
    <t>2011-02-12T05:23:30Z</t>
  </si>
  <si>
    <t>2022-08-25T12:32:39Z</t>
  </si>
  <si>
    <t>ehang-io/nps</t>
  </si>
  <si>
    <t>2018-11-04T13:22:51Z</t>
  </si>
  <si>
    <t>2022-08-25T12:55:39Z</t>
  </si>
  <si>
    <t>mdbootstrap/mdb-ui-kit</t>
  </si>
  <si>
    <t>2014-08-18T11:54:00Z</t>
  </si>
  <si>
    <t>2022-08-25T12:47:59Z</t>
  </si>
  <si>
    <t>swagger-api/swagger-ui</t>
  </si>
  <si>
    <t>2011-07-15T22:56:39Z</t>
  </si>
  <si>
    <t>2022-08-25T14:22:49Z</t>
  </si>
  <si>
    <t>sampotts/plyr</t>
  </si>
  <si>
    <t>2015-02-14T11:33:07Z</t>
  </si>
  <si>
    <t>2022-08-25T08:57:14Z</t>
  </si>
  <si>
    <t>pure-css/pure</t>
  </si>
  <si>
    <t>2013-04-22T16:16:39Z</t>
  </si>
  <si>
    <t>2022-08-25T10:01:07Z</t>
  </si>
  <si>
    <t>ReactiveX/RxSwift</t>
  </si>
  <si>
    <t>2015-04-07T21:25:17Z</t>
  </si>
  <si>
    <t>2022-08-25T14:12:06Z</t>
  </si>
  <si>
    <t>digitalocean/nginxconfig.io</t>
  </si>
  <si>
    <t>2018-01-05T14:21:14Z</t>
  </si>
  <si>
    <t>2022-08-25T14:35:23Z</t>
  </si>
  <si>
    <t>fabricjs/fabric.js</t>
  </si>
  <si>
    <t>2010-06-09T22:24:38Z</t>
  </si>
  <si>
    <t>2022-08-25T12:38:08Z</t>
  </si>
  <si>
    <t>helm/helm</t>
  </si>
  <si>
    <t>2015-10-06T01:07:32Z</t>
  </si>
  <si>
    <t>2022-08-25T13:54:17Z</t>
  </si>
  <si>
    <t>syl20bnr/spacemacs</t>
  </si>
  <si>
    <t>2012-12-17T21:34:03Z</t>
  </si>
  <si>
    <t>2022-08-25T13:30:13Z</t>
  </si>
  <si>
    <t>Emacs Lisp</t>
  </si>
  <si>
    <t>ageron/handson-ml2</t>
  </si>
  <si>
    <t>2019-01-08T03:49:07Z</t>
  </si>
  <si>
    <t>2022-08-25T14:18:50Z</t>
  </si>
  <si>
    <t>littlecodersh/ItChat</t>
  </si>
  <si>
    <t>2016-01-19T07:49:48Z</t>
  </si>
  <si>
    <t>2022-08-25T08:10:06Z</t>
  </si>
  <si>
    <t>matteocrippa/awesome-swift</t>
  </si>
  <si>
    <t>2014-07-10T14:04:09Z</t>
  </si>
  <si>
    <t>2022-08-25T06:44:49Z</t>
  </si>
  <si>
    <t>mongodb/mongo</t>
  </si>
  <si>
    <t>2009-01-15T16:15:18Z</t>
  </si>
  <si>
    <t>2022-08-25T11:05:43Z</t>
  </si>
  <si>
    <t>xuxueli/xxl-job</t>
  </si>
  <si>
    <t>2015-11-28T12:59:34Z</t>
  </si>
  <si>
    <t>2022-08-25T11:05:08Z</t>
  </si>
  <si>
    <t>reduxjs/react-redux</t>
  </si>
  <si>
    <t>2015-07-11T17:32:01Z</t>
  </si>
  <si>
    <t>2022-08-25T13:17:33Z</t>
  </si>
  <si>
    <t>kahun/awesome-sysadmin</t>
  </si>
  <si>
    <t>2014-02-09T22:39:20Z</t>
  </si>
  <si>
    <t>2022-08-25T12:20:18Z</t>
  </si>
  <si>
    <t>qishibo/AnotherRedisDesktopManager</t>
  </si>
  <si>
    <t>2019-01-08T06:01:56Z</t>
  </si>
  <si>
    <t>2022-08-25T14:23:34Z</t>
  </si>
  <si>
    <t>ramda/ramda</t>
  </si>
  <si>
    <t>2013-06-21T20:32:35Z</t>
  </si>
  <si>
    <t>2022-08-25T08:09:15Z</t>
  </si>
  <si>
    <t>balderdashy/sails</t>
  </si>
  <si>
    <t>2012-03-18T19:46:15Z</t>
  </si>
  <si>
    <t>2022-08-25T00:12:46Z</t>
  </si>
  <si>
    <t>redux-saga/redux-saga</t>
  </si>
  <si>
    <t>2015-11-29T16:58:12Z</t>
  </si>
  <si>
    <t>2022-08-25T14:27:41Z</t>
  </si>
  <si>
    <t>emberjs/ember.js</t>
  </si>
  <si>
    <t>2011-05-25T23:39:40Z</t>
  </si>
  <si>
    <t>2022-08-25T13:30:21Z</t>
  </si>
  <si>
    <t>slidevjs/slidev</t>
  </si>
  <si>
    <t>2021-04-24T01:25:23Z</t>
  </si>
  <si>
    <t>2022-08-25T13:46:44Z</t>
  </si>
  <si>
    <t>android/architecture-components-samples</t>
  </si>
  <si>
    <t>2017-05-09T21:09:14Z</t>
  </si>
  <si>
    <t>2022-08-25T10:42:51Z</t>
  </si>
  <si>
    <t>ovity/octotree</t>
  </si>
  <si>
    <t>2014-05-09T18:15:20Z</t>
  </si>
  <si>
    <t>2022-08-25T08:55:33Z</t>
  </si>
  <si>
    <t>fouber/blog</t>
  </si>
  <si>
    <t>2014-04-25T09:44:42Z</t>
  </si>
  <si>
    <t>2022-08-25T02:06:42Z</t>
  </si>
  <si>
    <t>dimsemenov/PhotoSwipe</t>
  </si>
  <si>
    <t>2011-04-07T05:46:29Z</t>
  </si>
  <si>
    <t>2022-08-25T10:35:35Z</t>
  </si>
  <si>
    <t>Wox-launcher/Wox</t>
  </si>
  <si>
    <t>2013-12-19T15:49:32Z</t>
  </si>
  <si>
    <t>2022-08-25T13:49:54Z</t>
  </si>
  <si>
    <t>matterport/Mask_RCNN</t>
  </si>
  <si>
    <t>2017-10-19T20:28:34Z</t>
  </si>
  <si>
    <t>2022-08-25T10:49:20Z</t>
  </si>
  <si>
    <t>t4t5/sweetalert</t>
  </si>
  <si>
    <t>2014-09-30T11:12:48Z</t>
  </si>
  <si>
    <t>2022-08-25T10:59:39Z</t>
  </si>
  <si>
    <t>rollup/rollup</t>
  </si>
  <si>
    <t>2015-05-14T22:26:28Z</t>
  </si>
  <si>
    <t>2022-08-25T14:00:51Z</t>
  </si>
  <si>
    <t>feathericons/feather</t>
  </si>
  <si>
    <t>2014-05-28T19:49:55Z</t>
  </si>
  <si>
    <t>2022-08-24T17:32:30Z</t>
  </si>
  <si>
    <t>mbadolato/iTerm2-Color-Schemes</t>
  </si>
  <si>
    <t>2011-04-01T04:01:46Z</t>
  </si>
  <si>
    <t>2022-08-25T13:04:51Z</t>
  </si>
  <si>
    <t>harvesthq/chosen</t>
  </si>
  <si>
    <t>2011-04-18T15:07:41Z</t>
  </si>
  <si>
    <t>2022-08-22T21:45:01Z</t>
  </si>
  <si>
    <t>guzzle/guzzle</t>
  </si>
  <si>
    <t>2011-02-28T02:44:05Z</t>
  </si>
  <si>
    <t>2022-08-25T12:18:00Z</t>
  </si>
  <si>
    <t>inconshreveable/ngrok</t>
  </si>
  <si>
    <t>2013-03-20T09:37:43Z</t>
  </si>
  <si>
    <t>2022-08-25T14:22:45Z</t>
  </si>
  <si>
    <t>vapor/vapor</t>
  </si>
  <si>
    <t>2016-01-18T22:37:52Z</t>
  </si>
  <si>
    <t>MostlyAdequate/mostly-adequate-guide</t>
  </si>
  <si>
    <t>2015-05-06T01:44:15Z</t>
  </si>
  <si>
    <t>2022-08-25T08:18:05Z</t>
  </si>
  <si>
    <t>facebookresearch/detectron2</t>
  </si>
  <si>
    <t>2019-09-05T21:30:20Z</t>
  </si>
  <si>
    <t>2022-08-25T13:15:55Z</t>
  </si>
  <si>
    <t>openfaas/faas</t>
  </si>
  <si>
    <t>2016-12-22T12:51:39Z</t>
  </si>
  <si>
    <t>2022-08-25T12:47:42Z</t>
  </si>
  <si>
    <t>github/hub</t>
  </si>
  <si>
    <t>2009-12-05T22:15:25Z</t>
  </si>
  <si>
    <t>ryanhanwu/How-To-Ask-Questions-The-Smart-Way</t>
  </si>
  <si>
    <t>2015-03-28T16:52:40Z</t>
  </si>
  <si>
    <t>2022-08-25T13:22:49Z</t>
  </si>
  <si>
    <t>facebook/draft-js</t>
  </si>
  <si>
    <t>2016-02-19T20:18:26Z</t>
  </si>
  <si>
    <t>2022-08-25T11:47:43Z</t>
  </si>
  <si>
    <t>gofiber/fiber</t>
  </si>
  <si>
    <t>2020-01-16T03:59:20Z</t>
  </si>
  <si>
    <t>2022-08-25T13:32:03Z</t>
  </si>
  <si>
    <t>haizlin/fe-interview</t>
  </si>
  <si>
    <t>2019-04-17T03:05:58Z</t>
  </si>
  <si>
    <t>2022-08-25T09:59:41Z</t>
  </si>
  <si>
    <t>coder2gwy/coder2gwy</t>
  </si>
  <si>
    <t>2020-12-30T14:40:50Z</t>
  </si>
  <si>
    <t>2022-08-25T09:01:18Z</t>
  </si>
  <si>
    <t>Tencent/wepy</t>
  </si>
  <si>
    <t>2016-11-14T08:06:56Z</t>
  </si>
  <si>
    <t>2022-08-25T04:03:07Z</t>
  </si>
  <si>
    <t>photoprism/photoprism</t>
  </si>
  <si>
    <t>2018-01-27T12:00:15Z</t>
  </si>
  <si>
    <t>2022-08-25T13:28:43Z</t>
  </si>
  <si>
    <t>kilimchoi/engineering-blogs</t>
  </si>
  <si>
    <t>2015-06-13T18:25:17Z</t>
  </si>
  <si>
    <t>2022-08-25T02:10:13Z</t>
  </si>
  <si>
    <t>quasarframework/quasar</t>
  </si>
  <si>
    <t>2015-10-05T15:45:36Z</t>
  </si>
  <si>
    <t>2022-08-25T13:16:33Z</t>
  </si>
  <si>
    <t>Polymer/polymer</t>
  </si>
  <si>
    <t>2012-08-23T20:56:30Z</t>
  </si>
  <si>
    <t>2022-08-25T11:21:22Z</t>
  </si>
  <si>
    <t>TheAlgorithms/JavaScript</t>
  </si>
  <si>
    <t>2017-07-13T06:12:33Z</t>
  </si>
  <si>
    <t>2022-08-25T13:33:48Z</t>
  </si>
  <si>
    <t>facebook/flow</t>
  </si>
  <si>
    <t>2014-10-28T17:17:45Z</t>
  </si>
  <si>
    <t>2022-08-25T11:35:08Z</t>
  </si>
  <si>
    <t>OCaml</t>
  </si>
  <si>
    <t>vercel/pkg</t>
  </si>
  <si>
    <t>2016-08-08T19:41:59Z</t>
  </si>
  <si>
    <t>2022-08-25T14:30:59Z</t>
  </si>
  <si>
    <t>markerikson/react-redux-links</t>
  </si>
  <si>
    <t>2016-01-22T02:10:28Z</t>
  </si>
  <si>
    <t>2022-08-25T04:34:38Z</t>
  </si>
  <si>
    <t>ray-project/ray</t>
  </si>
  <si>
    <t>2016-10-25T19:38:30Z</t>
  </si>
  <si>
    <t>2022-08-25T12:24:50Z</t>
  </si>
  <si>
    <t>datasciencemasters/go</t>
  </si>
  <si>
    <t>2013-08-14T08:33:55Z</t>
  </si>
  <si>
    <t>2022-08-25T09:04:54Z</t>
  </si>
  <si>
    <t>google/iosched</t>
  </si>
  <si>
    <t>2014-04-01T22:40:40Z</t>
  </si>
  <si>
    <t>2022-08-25T03:27:42Z</t>
  </si>
  <si>
    <t>getredash/redash</t>
  </si>
  <si>
    <t>2013-10-28T13:19:39Z</t>
  </si>
  <si>
    <t>2022-08-25T13:58:28Z</t>
  </si>
  <si>
    <t>mochajs/mocha</t>
  </si>
  <si>
    <t>2011-03-07T18:44:25Z</t>
  </si>
  <si>
    <t>2022-08-25T14:23:21Z</t>
  </si>
  <si>
    <t>solidjs/solid</t>
  </si>
  <si>
    <t>2018-04-24T16:36:27Z</t>
  </si>
  <si>
    <t>2022-08-25T14:28:58Z</t>
  </si>
  <si>
    <t>zhongyang219/TrafficMonitor</t>
  </si>
  <si>
    <t>2017-07-30T02:51:17Z</t>
  </si>
  <si>
    <t>2022-08-25T14:32:43Z</t>
  </si>
  <si>
    <t>react-navigation/react-navigation</t>
  </si>
  <si>
    <t>2017-01-26T19:51:40Z</t>
  </si>
  <si>
    <t>2022-08-25T14:31:08Z</t>
  </si>
  <si>
    <t>NativeScript/NativeScript</t>
  </si>
  <si>
    <t>2015-03-01T09:47:08Z</t>
  </si>
  <si>
    <t>2022-08-25T13:39:13Z</t>
  </si>
  <si>
    <t>SwiftyJSON/SwiftyJSON</t>
  </si>
  <si>
    <t>2014-06-18T14:41:15Z</t>
  </si>
  <si>
    <t>2022-08-25T09:35:36Z</t>
  </si>
  <si>
    <t>dnSpy/dnSpy</t>
  </si>
  <si>
    <t>2015-07-01T16:05:10Z</t>
  </si>
  <si>
    <t>servo/servo</t>
  </si>
  <si>
    <t>2012-02-08T19:07:25Z</t>
  </si>
  <si>
    <t>2022-08-25T06:26:09Z</t>
  </si>
  <si>
    <t>komeiji-satori/Dress</t>
  </si>
  <si>
    <t>2018-02-11T03:49:29Z</t>
  </si>
  <si>
    <t>2022-08-25T11:29:19Z</t>
  </si>
  <si>
    <t>Standard ML</t>
  </si>
  <si>
    <t>alpinejs/alpine</t>
  </si>
  <si>
    <t>2019-11-28T13:51:55Z</t>
  </si>
  <si>
    <t>2022-08-25T12:53:38Z</t>
  </si>
  <si>
    <t>keon/algorithms</t>
  </si>
  <si>
    <t>2016-11-17T22:32:08Z</t>
  </si>
  <si>
    <t>2022-08-25T09:25:52Z</t>
  </si>
  <si>
    <t>docsifyjs/docsify</t>
  </si>
  <si>
    <t>2016-11-20T07:55:43Z</t>
  </si>
  <si>
    <t>2022-08-25T14:15:01Z</t>
  </si>
  <si>
    <t>usablica/intro.js</t>
  </si>
  <si>
    <t>2013-03-10T15:12:45Z</t>
  </si>
  <si>
    <t>2022-08-25T13:07:13Z</t>
  </si>
  <si>
    <t>kriasoft/react-starter-kit</t>
  </si>
  <si>
    <t>2014-04-16T13:08:18Z</t>
  </si>
  <si>
    <t>2022-08-25T09:09:07Z</t>
  </si>
  <si>
    <t>ApolloAuto/apollo</t>
  </si>
  <si>
    <t>2017-07-04T19:03:31Z</t>
  </si>
  <si>
    <t>bilibili/flv.js</t>
  </si>
  <si>
    <t>2016-05-12T08:34:31Z</t>
  </si>
  <si>
    <t>2022-08-25T13:01:20Z</t>
  </si>
  <si>
    <t>OWASP/CheatSheetSeries</t>
  </si>
  <si>
    <t>2018-12-21T14:26:43Z</t>
  </si>
  <si>
    <t>2022-08-25T09:57:53Z</t>
  </si>
  <si>
    <t>yuzu-emu/yuzu</t>
  </si>
  <si>
    <t>2018-01-03T18:13:57Z</t>
  </si>
  <si>
    <t>2022-08-25T13:25:52Z</t>
  </si>
  <si>
    <t>github/copilot-docs</t>
  </si>
  <si>
    <t>2021-10-23T16:07:04Z</t>
  </si>
  <si>
    <t>2022-08-25T14:13:27Z</t>
  </si>
  <si>
    <t>qianguyihao/Web</t>
  </si>
  <si>
    <t>2017-01-03T11:44:33Z</t>
  </si>
  <si>
    <t>2022-08-25T12:54:05Z</t>
  </si>
  <si>
    <t>dotnet-architecture/eShopOnContainers</t>
  </si>
  <si>
    <t>2016-10-05T22:35:23Z</t>
  </si>
  <si>
    <t>2022-08-25T13:36:12Z</t>
  </si>
  <si>
    <t>Pierian-Data/Complete-Python-3-Bootcamp</t>
  </si>
  <si>
    <t>2018-02-12T19:30:10Z</t>
  </si>
  <si>
    <t>2022-08-25T11:41:26Z</t>
  </si>
  <si>
    <t>eriklindernoren/ML-From-Scratch</t>
  </si>
  <si>
    <t>2017-02-05T12:11:23Z</t>
  </si>
  <si>
    <t>2022-08-25T04:34:46Z</t>
  </si>
  <si>
    <t>StevenBlack/hosts</t>
  </si>
  <si>
    <t>2012-04-12T20:22:50Z</t>
  </si>
  <si>
    <t>2022-08-25T11:20:34Z</t>
  </si>
  <si>
    <t>TencentARC/GFPGAN</t>
  </si>
  <si>
    <t>2021-03-19T06:18:20Z</t>
  </si>
  <si>
    <t>2022-08-25T14:36:18Z</t>
  </si>
  <si>
    <t>ShareX/ShareX</t>
  </si>
  <si>
    <t>2013-10-08T23:32:10Z</t>
  </si>
  <si>
    <t>google/gson</t>
  </si>
  <si>
    <t>2015-03-19T18:21:20Z</t>
  </si>
  <si>
    <t>2022-08-25T13:37:14Z</t>
  </si>
  <si>
    <t>bevacqua/dragula</t>
  </si>
  <si>
    <t>2015-04-13T21:35:38Z</t>
  </si>
  <si>
    <t>2022-08-25T12:43:27Z</t>
  </si>
  <si>
    <t>numpy/numpy</t>
  </si>
  <si>
    <t>2010-09-13T23:02:39Z</t>
  </si>
  <si>
    <t>2022-08-25T14:24:44Z</t>
  </si>
  <si>
    <t>nicolargo/glances</t>
  </si>
  <si>
    <t>2011-12-04T08:49:15Z</t>
  </si>
  <si>
    <t>2022-08-25T12:55:20Z</t>
  </si>
  <si>
    <t>AMAI-GmbH/AI-Expert-Roadmap</t>
  </si>
  <si>
    <t>2020-10-24T21:49:40Z</t>
  </si>
  <si>
    <t>2022-08-25T14:16:47Z</t>
  </si>
  <si>
    <t>eugeneyan/applied-ml</t>
  </si>
  <si>
    <t>2020-07-04T18:57:47Z</t>
  </si>
  <si>
    <t>2022-08-25T09:38:59Z</t>
  </si>
  <si>
    <t>wangzheng0822/algo</t>
  </si>
  <si>
    <t>2018-09-24T05:33:46Z</t>
  </si>
  <si>
    <t>2022-08-25T08:34:41Z</t>
  </si>
  <si>
    <t>conwnet/github1s</t>
  </si>
  <si>
    <t>2019-06-16T09:55:25Z</t>
  </si>
  <si>
    <t>2022-08-25T03:06:33Z</t>
  </si>
  <si>
    <t>sirupsen/logrus</t>
  </si>
  <si>
    <t>2013-10-16T19:08:55Z</t>
  </si>
  <si>
    <t>2022-08-25T11:44:51Z</t>
  </si>
  <si>
    <t>michalsnik/aos</t>
  </si>
  <si>
    <t>2015-07-09T17:49:00Z</t>
  </si>
  <si>
    <t>eslint/eslint</t>
  </si>
  <si>
    <t>2013-06-29T23:59:48Z</t>
  </si>
  <si>
    <t>2022-08-25T11:21:52Z</t>
  </si>
  <si>
    <t>ipfs/ipfs</t>
  </si>
  <si>
    <t>2014-02-11T07:28:24Z</t>
  </si>
  <si>
    <t>2022-08-25T13:39:31Z</t>
  </si>
  <si>
    <t>chenglou/react-motion</t>
  </si>
  <si>
    <t>2015-06-11T07:38:23Z</t>
  </si>
  <si>
    <t>2022-08-25T08:27:53Z</t>
  </si>
  <si>
    <t>statelyai/xstate</t>
  </si>
  <si>
    <t>2015-09-14T15:04:15Z</t>
  </si>
  <si>
    <t>2022-08-25T14:39:10Z</t>
  </si>
  <si>
    <t>wsargent/docker-cheat-sheet</t>
  </si>
  <si>
    <t>2014-08-05T20:04:20Z</t>
  </si>
  <si>
    <t>2022-08-25T06:18:02Z</t>
  </si>
  <si>
    <t>python-poetry/poetry</t>
  </si>
  <si>
    <t>2018-02-28T15:23:47Z</t>
  </si>
  <si>
    <t>2022-08-25T13:50:51Z</t>
  </si>
  <si>
    <t>react-bootstrap/react-bootstrap</t>
  </si>
  <si>
    <t>2013-12-27T19:06:07Z</t>
  </si>
  <si>
    <t>yeasy/docker_practice</t>
  </si>
  <si>
    <t>2014-09-05T04:06:39Z</t>
  </si>
  <si>
    <t>2022-08-25T14:37:21Z</t>
  </si>
  <si>
    <t>open-mmlab/mmdetection</t>
  </si>
  <si>
    <t>2018-08-22T07:06:06Z</t>
  </si>
  <si>
    <t>2022-08-25T13:49:05Z</t>
  </si>
  <si>
    <t>jlmakes/scrollreveal</t>
  </si>
  <si>
    <t>2014-01-16T17:37:20Z</t>
  </si>
  <si>
    <t>2022-08-24T21:52:01Z</t>
  </si>
  <si>
    <t>DIYgod/RSSHub</t>
  </si>
  <si>
    <t>2018-04-02T14:43:21Z</t>
  </si>
  <si>
    <t>2022-08-25T13:22:55Z</t>
  </si>
  <si>
    <t>HeroTransitions/Hero</t>
  </si>
  <si>
    <t>2016-11-24T18:49:37Z</t>
  </si>
  <si>
    <t>2022-08-25T06:42:21Z</t>
  </si>
  <si>
    <t>paularmstrong/normalizr</t>
  </si>
  <si>
    <t>2014-08-20T08:41:38Z</t>
  </si>
  <si>
    <t>2022-08-25T13:38:11Z</t>
  </si>
  <si>
    <t>pmndrs/zustand</t>
  </si>
  <si>
    <t>2019-04-09T09:10:06Z</t>
  </si>
  <si>
    <t>2022-08-25T12:27:18Z</t>
  </si>
  <si>
    <t>viatsko/awesome-vscode</t>
  </si>
  <si>
    <t>2016-02-07T23:02:45Z</t>
  </si>
  <si>
    <t>2022-08-25T13:01:18Z</t>
  </si>
  <si>
    <t>pugjs/pug</t>
  </si>
  <si>
    <t>2010-06-23T01:05:42Z</t>
  </si>
  <si>
    <t>2022-08-24T16:21:55Z</t>
  </si>
  <si>
    <t>localForage/localForage</t>
  </si>
  <si>
    <t>2013-10-31T00:10:06Z</t>
  </si>
  <si>
    <t>2022-08-25T13:52:51Z</t>
  </si>
  <si>
    <t>neoclide/coc.nvim</t>
  </si>
  <si>
    <t>2018-05-01T22:39:02Z</t>
  </si>
  <si>
    <t>2022-08-25T13:19:14Z</t>
  </si>
  <si>
    <t>microsoft/cascadia-code</t>
  </si>
  <si>
    <t>2019-07-10T22:50:20Z</t>
  </si>
  <si>
    <t>2022-08-25T12:37:25Z</t>
  </si>
  <si>
    <t>googlehosts/hosts</t>
  </si>
  <si>
    <t>2017-08-05T16:10:32Z</t>
  </si>
  <si>
    <t>2022-08-25T13:22:07Z</t>
  </si>
  <si>
    <t>SerenityOS/serenity</t>
  </si>
  <si>
    <t>2018-12-02T19:28:41Z</t>
  </si>
  <si>
    <t>2022-08-25T14:01:12Z</t>
  </si>
  <si>
    <t>k3s-io/k3s</t>
  </si>
  <si>
    <t>2018-05-31T01:37:46Z</t>
  </si>
  <si>
    <t>2022-08-25T14:03:07Z</t>
  </si>
  <si>
    <t>sebastianruder/NLP-progress</t>
  </si>
  <si>
    <t>2018-06-22T17:43:55Z</t>
  </si>
  <si>
    <t>2022-08-25T08:03:45Z</t>
  </si>
  <si>
    <t>rwaldron/idiomatic.js</t>
  </si>
  <si>
    <t>2011-05-25T17:48:59Z</t>
  </si>
  <si>
    <t>2022-08-25T14:38:24Z</t>
  </si>
  <si>
    <t>ascoders/weekly</t>
  </si>
  <si>
    <t>2017-03-20T06:10:04Z</t>
  </si>
  <si>
    <t>2022-08-25T14:39:19Z</t>
  </si>
  <si>
    <t>vuejs/vuepress</t>
  </si>
  <si>
    <t>2018-04-05T16:58:38Z</t>
  </si>
  <si>
    <t>2022-08-25T14:34:17Z</t>
  </si>
  <si>
    <t>DesignPatternsPHP/DesignPatternsPHP</t>
  </si>
  <si>
    <t>2011-08-22T05:24:31Z</t>
  </si>
  <si>
    <t>2022-08-25T06:22:11Z</t>
  </si>
  <si>
    <t>tornadoweb/tornado</t>
  </si>
  <si>
    <t>2009-09-09T04:55:16Z</t>
  </si>
  <si>
    <t>2022-08-25T06:39:13Z</t>
  </si>
  <si>
    <t>bradtraversy/50projects50days</t>
  </si>
  <si>
    <t>2020-11-16T14:39:01Z</t>
  </si>
  <si>
    <t>2022-08-25T14:26:38Z</t>
  </si>
  <si>
    <t>wesbos/JavaScript30</t>
  </si>
  <si>
    <t>2016-12-07T19:15:31Z</t>
  </si>
  <si>
    <t>2022-08-25T14:14:33Z</t>
  </si>
  <si>
    <t>uglide/RedisDesktopManager</t>
  </si>
  <si>
    <t>2013-08-05T07:51:08Z</t>
  </si>
  <si>
    <t>2022-08-25T12:36:08Z</t>
  </si>
  <si>
    <t>discordjs/discord.js</t>
  </si>
  <si>
    <t>2015-08-10T13:36:26Z</t>
  </si>
  <si>
    <t>2022-08-25T14:18:58Z</t>
  </si>
  <si>
    <t>elixir-lang/elixir</t>
  </si>
  <si>
    <t>2011-01-09T08:43:57Z</t>
  </si>
  <si>
    <t>2022-08-25T13:28:44Z</t>
  </si>
  <si>
    <t>Elixir</t>
  </si>
  <si>
    <t>TheAlgorithms/C-Plus-Plus</t>
  </si>
  <si>
    <t>2016-07-16T10:19:45Z</t>
  </si>
  <si>
    <t>2022-08-25T14:36:48Z</t>
  </si>
  <si>
    <t>TeamNewPipe/NewPipe</t>
  </si>
  <si>
    <t>2015-09-03T23:39:26Z</t>
  </si>
  <si>
    <t>2022-08-25T14:36:42Z</t>
  </si>
  <si>
    <t>DrKLO/Telegram</t>
  </si>
  <si>
    <t>2013-10-25T14:08:10Z</t>
  </si>
  <si>
    <t>2022-08-25T11:33:41Z</t>
  </si>
  <si>
    <t>ColorlibHQ/gentelella</t>
  </si>
  <si>
    <t>2015-05-15T06:57:27Z</t>
  </si>
  <si>
    <t>2022-08-25T08:56:14Z</t>
  </si>
  <si>
    <t>zhiwehu/Python-programming-exercises</t>
  </si>
  <si>
    <t>2012-06-14T07:56:46Z</t>
  </si>
  <si>
    <t>2022-08-25T11:34:11Z</t>
  </si>
  <si>
    <t>appsmithorg/appsmith</t>
  </si>
  <si>
    <t>2020-06-30T04:07:36Z</t>
  </si>
  <si>
    <t>2022-08-25T13:02:52Z</t>
  </si>
  <si>
    <t>WerWolv/ImHex</t>
  </si>
  <si>
    <t>2020-11-10T14:27:00Z</t>
  </si>
  <si>
    <t>2022-08-25T14:10:51Z</t>
  </si>
  <si>
    <t>goldfire/howler.js</t>
  </si>
  <si>
    <t>2013-01-28T16:47:12Z</t>
  </si>
  <si>
    <t>2022-08-25T12:29:43Z</t>
  </si>
  <si>
    <t>SwiftGGTeam/the-swift-programming-language-in-chinese</t>
  </si>
  <si>
    <t>2014-06-03T04:44:09Z</t>
  </si>
  <si>
    <t>2022-08-25T11:51:06Z</t>
  </si>
  <si>
    <t>homebridge/homebridge</t>
  </si>
  <si>
    <t>2014-12-01T16:37:39Z</t>
  </si>
  <si>
    <t>2022-08-25T09:29:31Z</t>
  </si>
  <si>
    <t>schollz/croc</t>
  </si>
  <si>
    <t>2017-10-17T15:20:18Z</t>
  </si>
  <si>
    <t>2022-08-25T13:42:32Z</t>
  </si>
  <si>
    <t>jaredhanson/passport</t>
  </si>
  <si>
    <t>2011-10-08T22:38:32Z</t>
  </si>
  <si>
    <t>2022-08-24T12:53:29Z</t>
  </si>
  <si>
    <t>julycoding/The-Art-Of-Programming-By-July</t>
  </si>
  <si>
    <t>2013-12-14T10:00:06Z</t>
  </si>
  <si>
    <t>2022-08-25T06:41:06Z</t>
  </si>
  <si>
    <t>GorvGoyl/Clone-Wars</t>
  </si>
  <si>
    <t>2020-12-02T11:10:16Z</t>
  </si>
  <si>
    <t>2022-08-25T10:22:00Z</t>
  </si>
  <si>
    <t>postcss/autoprefixer</t>
  </si>
  <si>
    <t>2013-03-14T05:04:51Z</t>
  </si>
  <si>
    <t>2022-08-25T12:38:20Z</t>
  </si>
  <si>
    <t>rwightman/pytorch-image-models</t>
  </si>
  <si>
    <t>2019-02-02T05:51:12Z</t>
  </si>
  <si>
    <t>2022-08-25T11:59:39Z</t>
  </si>
  <si>
    <t>onevcat/Kingfisher</t>
  </si>
  <si>
    <t>2015-04-06T14:26:21Z</t>
  </si>
  <si>
    <t>2022-08-25T14:23:40Z</t>
  </si>
  <si>
    <t>louislam/uptime-kuma</t>
  </si>
  <si>
    <t>2021-07-03T01:02:42Z</t>
  </si>
  <si>
    <t>2022-08-25T14:10:44Z</t>
  </si>
  <si>
    <t>streamlit/streamlit</t>
  </si>
  <si>
    <t>2019-08-24T00:14:52Z</t>
  </si>
  <si>
    <t>2022-08-25T13:22:57Z</t>
  </si>
  <si>
    <t>git-tips/tips</t>
  </si>
  <si>
    <t>2015-07-15T07:24:48Z</t>
  </si>
  <si>
    <t>2022-08-25T10:53:32Z</t>
  </si>
  <si>
    <t>Meituan-Dianping/mpvue</t>
  </si>
  <si>
    <t>2018-03-07T03:09:25Z</t>
  </si>
  <si>
    <t>2022-08-25T06:35:20Z</t>
  </si>
  <si>
    <t>nushell/nushell</t>
  </si>
  <si>
    <t>2019-05-10T16:59:42Z</t>
  </si>
  <si>
    <t>2022-08-25T14:32:46Z</t>
  </si>
  <si>
    <t>libgdx/libgdx</t>
  </si>
  <si>
    <t>2012-08-10T19:34:38Z</t>
  </si>
  <si>
    <t>2022-08-25T13:04:26Z</t>
  </si>
  <si>
    <t>marmelab/react-admin</t>
  </si>
  <si>
    <t>2016-07-13T07:58:54Z</t>
  </si>
  <si>
    <t>2022-08-25T13:45:43Z</t>
  </si>
  <si>
    <t>spf13/viper</t>
  </si>
  <si>
    <t>2014-04-02T14:33:33Z</t>
  </si>
  <si>
    <t>highlightjs/highlight.js</t>
  </si>
  <si>
    <t>2011-01-01T23:47:21Z</t>
  </si>
  <si>
    <t>2022-08-25T07:49:46Z</t>
  </si>
  <si>
    <t>deezer/spleeter</t>
  </si>
  <si>
    <t>2019-09-26T15:40:46Z</t>
  </si>
  <si>
    <t>2022-08-25T14:27:33Z</t>
  </si>
  <si>
    <t>FallibleInc/security-guide-for-developers</t>
  </si>
  <si>
    <t>2016-06-08T15:56:25Z</t>
  </si>
  <si>
    <t>2022-08-25T07:10:30Z</t>
  </si>
  <si>
    <t>Z4nzu/hackingtool</t>
  </si>
  <si>
    <t>2020-04-11T09:21:31Z</t>
  </si>
  <si>
    <t>2022-08-25T13:14:16Z</t>
  </si>
  <si>
    <t>datawhalechina/pumpkin-book</t>
  </si>
  <si>
    <t>2018-12-22T05:05:24Z</t>
  </si>
  <si>
    <t>2022-08-25T12:35:56Z</t>
  </si>
  <si>
    <t>envoyproxy/envoy</t>
  </si>
  <si>
    <t>2016-08-08T15:07:24Z</t>
  </si>
  <si>
    <t>2022-08-25T02:15:15Z</t>
  </si>
  <si>
    <t>bitcoinbook/bitcoinbook</t>
  </si>
  <si>
    <t>2013-08-11T23:18:28Z</t>
  </si>
  <si>
    <t>2022-08-25T09:48:47Z</t>
  </si>
  <si>
    <t>AsciiDoc</t>
  </si>
  <si>
    <t>camsong/You-Dont-Need-jQuery</t>
  </si>
  <si>
    <t>2015-11-21T16:02:26Z</t>
  </si>
  <si>
    <t>2022-08-25T05:18:53Z</t>
  </si>
  <si>
    <t>ruanyf/es6tutorial</t>
  </si>
  <si>
    <t>2014-04-20T13:06:28Z</t>
  </si>
  <si>
    <t>2022-08-24T16:15:24Z</t>
  </si>
  <si>
    <t>lyswhut/lx-music-desktop</t>
  </si>
  <si>
    <t>2019-08-14T14:31:08Z</t>
  </si>
  <si>
    <t>2022-08-25T13:30:56Z</t>
  </si>
  <si>
    <t>notable/notable</t>
  </si>
  <si>
    <t>2018-12-22T13:57:19Z</t>
  </si>
  <si>
    <t>2022-08-25T11:59:00Z</t>
  </si>
  <si>
    <t>necolas/react-native-web</t>
  </si>
  <si>
    <t>2015-06-09T19:25:38Z</t>
  </si>
  <si>
    <t>2022-08-25T13:04:53Z</t>
  </si>
  <si>
    <t>zeromicro/go-zero</t>
  </si>
  <si>
    <t>2020-08-07T15:37:57Z</t>
  </si>
  <si>
    <t>2022-08-25T13:52:58Z</t>
  </si>
  <si>
    <t>JohnCoates/Aerial</t>
  </si>
  <si>
    <t>2015-10-26T21:21:31Z</t>
  </si>
  <si>
    <t>2022-08-24T12:42:30Z</t>
  </si>
  <si>
    <t>petkaantonov/bluebird</t>
  </si>
  <si>
    <t>2013-09-07T19:39:57Z</t>
  </si>
  <si>
    <t>2022-08-25T02:43:09Z</t>
  </si>
  <si>
    <t>futurice/android-best-practices</t>
  </si>
  <si>
    <t>2014-07-29T09:09:44Z</t>
  </si>
  <si>
    <t>2022-08-24T11:28:09Z</t>
  </si>
  <si>
    <t>taichi-dev/taichi</t>
  </si>
  <si>
    <t>2016-11-24T10:00:05Z</t>
  </si>
  <si>
    <t>2022-08-25T12:36:58Z</t>
  </si>
  <si>
    <t>WeNeedHome/SummaryOfLoanSuspension</t>
  </si>
  <si>
    <t>2022-07-12T16:33:25Z</t>
  </si>
  <si>
    <t>2022-08-25T12:34:26Z</t>
  </si>
  <si>
    <t>vant-ui/vant</t>
  </si>
  <si>
    <t>2017-04-19T07:55:31Z</t>
  </si>
  <si>
    <t>2022-08-25T14:04:29Z</t>
  </si>
  <si>
    <t>mozilla/DeepSpeech</t>
  </si>
  <si>
    <t>2016-06-02T15:04:53Z</t>
  </si>
  <si>
    <t>2022-08-25T09:54:15Z</t>
  </si>
  <si>
    <t>apache/skywalking</t>
  </si>
  <si>
    <t>2015-11-07T03:30:36Z</t>
  </si>
  <si>
    <t>2022-08-25T14:28:16Z</t>
  </si>
  <si>
    <t>validatorjs/validator.js</t>
  </si>
  <si>
    <t>2010-10-06T06:58:48Z</t>
  </si>
  <si>
    <t>2022-08-25T11:35:02Z</t>
  </si>
  <si>
    <t>apache/incubator-mxnet</t>
  </si>
  <si>
    <t>2015-04-30T16:21:15Z</t>
  </si>
  <si>
    <t>2022-08-25T14:07:38Z</t>
  </si>
  <si>
    <t>tsenart/vegeta</t>
  </si>
  <si>
    <t>2013-08-13T11:45:21Z</t>
  </si>
  <si>
    <t>2022-08-25T12:57:26Z</t>
  </si>
  <si>
    <t>v8/v8</t>
  </si>
  <si>
    <t>2014-09-24T15:24:30Z</t>
  </si>
  <si>
    <t>2022-08-25T12:08:01Z</t>
  </si>
  <si>
    <t>electron-react-boilerplate/electron-react-boilerplate</t>
  </si>
  <si>
    <t>2015-05-18T09:54:57Z</t>
  </si>
  <si>
    <t>2022-08-25T14:02:54Z</t>
  </si>
  <si>
    <t>gfwlist/gfwlist</t>
  </si>
  <si>
    <t>2015-03-13T13:24:56Z</t>
  </si>
  <si>
    <t>2022-08-25T12:49:49Z</t>
  </si>
  <si>
    <t>zyedidia/micro</t>
  </si>
  <si>
    <t>2016-03-11T02:06:28Z</t>
  </si>
  <si>
    <t>2022-08-25T14:31:18Z</t>
  </si>
  <si>
    <t>judasn/IntelliJ-IDEA-Tutorial</t>
  </si>
  <si>
    <t>2015-08-17T15:25:52Z</t>
  </si>
  <si>
    <t>2022-08-25T10:55:48Z</t>
  </si>
  <si>
    <t>ReactiveCocoa/ReactiveCocoa</t>
  </si>
  <si>
    <t>2012-03-02T22:11:24Z</t>
  </si>
  <si>
    <t>2022-08-25T11:59:51Z</t>
  </si>
  <si>
    <t>BradLarson/GPUImage</t>
  </si>
  <si>
    <t>2012-02-13T15:20:02Z</t>
  </si>
  <si>
    <t>2022-08-24T01:53:35Z</t>
  </si>
  <si>
    <t>google/jax</t>
  </si>
  <si>
    <t>2018-10-25T21:25:02Z</t>
  </si>
  <si>
    <t>codex-team/editor.js</t>
  </si>
  <si>
    <t>2015-11-28T20:56:35Z</t>
  </si>
  <si>
    <t>2022-08-25T14:09:52Z</t>
  </si>
  <si>
    <t>celery/celery</t>
  </si>
  <si>
    <t>2009-04-24T11:31:24Z</t>
  </si>
  <si>
    <t>2022-08-25T09:42:56Z</t>
  </si>
  <si>
    <t>SamyPesse/How-to-Make-a-Computer-Operating-System</t>
  </si>
  <si>
    <t>2013-11-29T17:36:32Z</t>
  </si>
  <si>
    <t>2022-08-25T14:01:40Z</t>
  </si>
  <si>
    <t>avajs/ava</t>
  </si>
  <si>
    <t>2014-11-18T17:20:26Z</t>
  </si>
  <si>
    <t>2022-08-25T12:11:56Z</t>
  </si>
  <si>
    <t>enzymejs/enzyme</t>
  </si>
  <si>
    <t>2015-11-10T21:45:38Z</t>
  </si>
  <si>
    <t>2022-08-25T06:49:17Z</t>
  </si>
  <si>
    <t>libuv/libuv</t>
  </si>
  <si>
    <t>2013-11-30T00:29:56Z</t>
  </si>
  <si>
    <t>2022-08-25T10:51:19Z</t>
  </si>
  <si>
    <t>microsoft/api-guidelines</t>
  </si>
  <si>
    <t>2016-07-12T20:01:24Z</t>
  </si>
  <si>
    <t>2022-08-25T12:20:16Z</t>
  </si>
  <si>
    <t>Awesome-Windows/Awesome</t>
  </si>
  <si>
    <t>2016-05-30T17:27:35Z</t>
  </si>
  <si>
    <t>2022-08-25T13:41:10Z</t>
  </si>
  <si>
    <t>leereilly/games</t>
  </si>
  <si>
    <t>2012-01-05T19:48:55Z</t>
  </si>
  <si>
    <t>2022-08-25T13:46:21Z</t>
  </si>
  <si>
    <t>tmrts/go-patterns</t>
  </si>
  <si>
    <t>2015-12-14T22:05:06Z</t>
  </si>
  <si>
    <t>2022-08-25T12:25:55Z</t>
  </si>
  <si>
    <t>charlax/professional-programming</t>
  </si>
  <si>
    <t>2015-11-07T05:07:52Z</t>
  </si>
  <si>
    <t>pbatard/rufus</t>
  </si>
  <si>
    <t>2011-11-19T19:12:05Z</t>
  </si>
  <si>
    <t>2022-08-25T14:07:49Z</t>
  </si>
  <si>
    <t>Seldaek/monolog</t>
  </si>
  <si>
    <t>2011-02-17T02:07:15Z</t>
  </si>
  <si>
    <t>2022-08-25T14:14:43Z</t>
  </si>
  <si>
    <t>jhipster/generator-jhipster</t>
  </si>
  <si>
    <t>2013-10-21T20:07:22Z</t>
  </si>
  <si>
    <t>2022-08-25T13:46:49Z</t>
  </si>
  <si>
    <t>js-cookie/js-cookie</t>
  </si>
  <si>
    <t>2015-03-19T15:57:47Z</t>
  </si>
  <si>
    <t>2022-08-25T12:43:49Z</t>
  </si>
  <si>
    <t>withfig/autocomplete</t>
  </si>
  <si>
    <t>2020-09-29T02:21:06Z</t>
  </si>
  <si>
    <t>2022-08-25T10:51:59Z</t>
  </si>
  <si>
    <t>Lightning-AI/lightning</t>
  </si>
  <si>
    <t>2019-03-31T00:45:57Z</t>
  </si>
  <si>
    <t>2022-08-25T13:45:23Z</t>
  </si>
  <si>
    <t>nextcloud/server</t>
  </si>
  <si>
    <t>2016-06-02T07:44:14Z</t>
  </si>
  <si>
    <t>2022-08-25T13:33:52Z</t>
  </si>
  <si>
    <t>mpv-player/mpv</t>
  </si>
  <si>
    <t>2012-10-13T08:08:44Z</t>
  </si>
  <si>
    <t>2022-08-25T14:38:31Z</t>
  </si>
  <si>
    <t>facebookarchive/pop</t>
  </si>
  <si>
    <t>2014-03-30T22:29:12Z</t>
  </si>
  <si>
    <t>2022-08-24T11:53:56Z</t>
  </si>
  <si>
    <t>Objective-C++</t>
  </si>
  <si>
    <t>FredKSchott/snowpack</t>
  </si>
  <si>
    <t>2019-02-26T15:45:38Z</t>
  </si>
  <si>
    <t>2022-08-25T10:14:21Z</t>
  </si>
  <si>
    <t>rancher/rancher</t>
  </si>
  <si>
    <t>2014-11-07T20:49:31Z</t>
  </si>
  <si>
    <t>2022-08-25T13:53:44Z</t>
  </si>
  <si>
    <t>lutzroeder/netron</t>
  </si>
  <si>
    <t>2010-12-26T12:53:43Z</t>
  </si>
  <si>
    <t>2022-08-25T09:26:46Z</t>
  </si>
  <si>
    <t>mxgmn/WaveFunctionCollapse</t>
  </si>
  <si>
    <t>2016-09-30T11:53:17Z</t>
  </si>
  <si>
    <t>2022-08-25T13:23:49Z</t>
  </si>
  <si>
    <t>google/ExoPlayer</t>
  </si>
  <si>
    <t>2014-06-13T21:19:18Z</t>
  </si>
  <si>
    <t>2022-08-25T09:05:24Z</t>
  </si>
  <si>
    <t>zhaoolee/ChromeAppHeroes</t>
  </si>
  <si>
    <t>2019-02-07T06:35:24Z</t>
  </si>
  <si>
    <t>2022-08-25T11:21:06Z</t>
  </si>
  <si>
    <t>alibaba/Sentinel</t>
  </si>
  <si>
    <t>2018-04-04T06:37:33Z</t>
  </si>
  <si>
    <t>2022-08-25T07:19:09Z</t>
  </si>
  <si>
    <t>parse-community/parse-server</t>
  </si>
  <si>
    <t>2016-01-28T18:29:14Z</t>
  </si>
  <si>
    <t>2022-08-25T11:50:03Z</t>
  </si>
  <si>
    <t>The-Run-Philosophy-Organization/run</t>
  </si>
  <si>
    <t>2022-04-10T05:42:40Z</t>
  </si>
  <si>
    <t>2022-08-25T14:23:28Z</t>
  </si>
  <si>
    <t>MustangYM/WeChatExtension-ForMac</t>
  </si>
  <si>
    <t>2019-04-25T03:02:16Z</t>
  </si>
  <si>
    <t>2022-08-25T09:07:34Z</t>
  </si>
  <si>
    <t>ReactiveX/RxAndroid</t>
  </si>
  <si>
    <t>2014-08-19T03:46:38Z</t>
  </si>
  <si>
    <t>2022-08-25T09:38:14Z</t>
  </si>
  <si>
    <t>nothings/stb</t>
  </si>
  <si>
    <t>2014-05-25T16:51:23Z</t>
  </si>
  <si>
    <t>2022-08-25T08:37:53Z</t>
  </si>
  <si>
    <t>redisson/redisson</t>
  </si>
  <si>
    <t>2014-01-11T14:06:25Z</t>
  </si>
  <si>
    <t>2022-08-25T13:56:05Z</t>
  </si>
  <si>
    <t>felixrieseberg/windows95</t>
  </si>
  <si>
    <t>2018-08-23T05:04:38Z</t>
  </si>
  <si>
    <t>2022-08-25T14:15:35Z</t>
  </si>
  <si>
    <t>Reactive-Extensions/RxJS</t>
  </si>
  <si>
    <t>2012-01-07T00:31:41Z</t>
  </si>
  <si>
    <t>2022-08-24T18:24:25Z</t>
  </si>
  <si>
    <t>apache/flink</t>
  </si>
  <si>
    <t>2014-06-07T07:00:10Z</t>
  </si>
  <si>
    <t>2022-08-25T13:15:45Z</t>
  </si>
  <si>
    <t>tipsy/profile-summary-for-github</t>
  </si>
  <si>
    <t>2017-12-10T13:29:15Z</t>
  </si>
  <si>
    <t>2022-08-25T06:50:49Z</t>
  </si>
  <si>
    <t>jaywcjlove/linux-command</t>
  </si>
  <si>
    <t>2016-11-12T15:44:26Z</t>
  </si>
  <si>
    <t>2022-08-25T09:48:16Z</t>
  </si>
  <si>
    <t>hwdsl2/setup-ipsec-vpn</t>
  </si>
  <si>
    <t>2016-01-07T16:44:12Z</t>
  </si>
  <si>
    <t>2022-08-25T12:24:17Z</t>
  </si>
  <si>
    <t>locustio/locust</t>
  </si>
  <si>
    <t>2011-02-17T11:08:03Z</t>
  </si>
  <si>
    <t>2022-08-25T12:45:05Z</t>
  </si>
  <si>
    <t>trekhleb/homemade-machine-learning</t>
  </si>
  <si>
    <t>2018-11-01T04:34:19Z</t>
  </si>
  <si>
    <t>2022-08-25T14:18:45Z</t>
  </si>
  <si>
    <t>benweet/stackedit</t>
  </si>
  <si>
    <t>2013-03-24T13:46:06Z</t>
  </si>
  <si>
    <t>2022-08-25T13:46:33Z</t>
  </si>
  <si>
    <t>telegramdesktop/tdesktop</t>
  </si>
  <si>
    <t>2014-05-02T12:36:31Z</t>
  </si>
  <si>
    <t>2022-08-25T14:26:16Z</t>
  </si>
  <si>
    <t>OpenZeppelin/openzeppelin-contracts</t>
  </si>
  <si>
    <t>2016-08-01T20:54:54Z</t>
  </si>
  <si>
    <t>2022-08-25T14:26:39Z</t>
  </si>
  <si>
    <t>xi-editor/xi-editor</t>
  </si>
  <si>
    <t>2016-04-26T23:03:23Z</t>
  </si>
  <si>
    <t>2022-08-25T10:20:59Z</t>
  </si>
  <si>
    <t>python-telegram-bot/python-telegram-bot</t>
  </si>
  <si>
    <t>2015-07-07T15:30:39Z</t>
  </si>
  <si>
    <t>2022-08-25T13:03:51Z</t>
  </si>
  <si>
    <t>forem/forem</t>
  </si>
  <si>
    <t>2016-11-13T23:02:13Z</t>
  </si>
  <si>
    <t>2022-08-25T13:00:55Z</t>
  </si>
  <si>
    <t>remoteintech/remote-jobs</t>
  </si>
  <si>
    <t>2015-10-13T03:49:25Z</t>
  </si>
  <si>
    <t>2022-08-25T13:06:22Z</t>
  </si>
  <si>
    <t>sdras/awesome-actions</t>
  </si>
  <si>
    <t>2018-10-17T17:53:45Z</t>
  </si>
  <si>
    <t>2022-08-25T12:37:33Z</t>
  </si>
  <si>
    <t>drduh/macOS-Security-and-Privacy-Guide</t>
  </si>
  <si>
    <t>2015-08-31T03:36:35Z</t>
  </si>
  <si>
    <t>2022-08-25T00:31:54Z</t>
  </si>
  <si>
    <t>robertdavidgraham/masscan</t>
  </si>
  <si>
    <t>2013-07-28T05:35:33Z</t>
  </si>
  <si>
    <t>2022-08-25T10:09:18Z</t>
  </si>
  <si>
    <t>fish-shell/fish-shell</t>
  </si>
  <si>
    <t>2012-05-10T03:00:55Z</t>
  </si>
  <si>
    <t>2022-08-25T13:57:07Z</t>
  </si>
  <si>
    <t>ruby/ruby</t>
  </si>
  <si>
    <t>2010-02-27T15:55:23Z</t>
  </si>
  <si>
    <t>2022-08-25T10:07:16Z</t>
  </si>
  <si>
    <t>railsware/upterm</t>
  </si>
  <si>
    <t>2015-03-22T07:00:24Z</t>
  </si>
  <si>
    <t>2022-08-23T14:45:17Z</t>
  </si>
  <si>
    <t>Homebrew/homebrew-cask</t>
  </si>
  <si>
    <t>2012-03-05T02:05:17Z</t>
  </si>
  <si>
    <t>2022-08-25T11:51:57Z</t>
  </si>
  <si>
    <t>eligrey/FileSaver.js</t>
  </si>
  <si>
    <t>2011-07-15T03:27:54Z</t>
  </si>
  <si>
    <t>2022-08-25T11:45:02Z</t>
  </si>
  <si>
    <t>jenkinsci/jenkins</t>
  </si>
  <si>
    <t>2010-11-22T21:21:23Z</t>
  </si>
  <si>
    <t>2022-08-25T11:18:52Z</t>
  </si>
  <si>
    <t>afollestad/material-dialogs</t>
  </si>
  <si>
    <t>2014-11-03T03:21:42Z</t>
  </si>
  <si>
    <t>2022-08-24T15:43:32Z</t>
  </si>
  <si>
    <t>winstonjs/winston</t>
  </si>
  <si>
    <t>2010-12-29T18:49:51Z</t>
  </si>
  <si>
    <t>2022-08-25T11:48:18Z</t>
  </si>
  <si>
    <t>yichengchen/clashX</t>
  </si>
  <si>
    <t>2018-06-13T02:51:24Z</t>
  </si>
  <si>
    <t>dracula/dracula-theme</t>
  </si>
  <si>
    <t>2013-10-27T12:39:02Z</t>
  </si>
  <si>
    <t>2022-08-25T13:50:45Z</t>
  </si>
  <si>
    <t>lensapp/lens</t>
  </si>
  <si>
    <t>2018-11-12T06:28:56Z</t>
  </si>
  <si>
    <t>2022-08-25T13:42:29Z</t>
  </si>
  <si>
    <t>chubin/wttr.in</t>
  </si>
  <si>
    <t>2015-12-26T21:03:43Z</t>
  </si>
  <si>
    <t>2022-08-25T12:03:59Z</t>
  </si>
  <si>
    <t>Igglybuff/awesome-piracy</t>
  </si>
  <si>
    <t>2018-10-09T22:09:56Z</t>
  </si>
  <si>
    <t>2022-08-25T13:36:27Z</t>
  </si>
  <si>
    <t>ChristosChristofidis/awesome-deep-learning</t>
  </si>
  <si>
    <t>2015-01-02T19:28:35Z</t>
  </si>
  <si>
    <t>2022-08-25T10:08:17Z</t>
  </si>
  <si>
    <t>segmentio/nightmare</t>
  </si>
  <si>
    <t>2014-04-05T22:19:51Z</t>
  </si>
  <si>
    <t>2022-08-24T18:23:33Z</t>
  </si>
  <si>
    <t>bazelbuild/bazel</t>
  </si>
  <si>
    <t>2014-06-12T16:00:38Z</t>
  </si>
  <si>
    <t>2022-08-25T12:57:41Z</t>
  </si>
  <si>
    <t>geekan/HowToLiveLonger</t>
  </si>
  <si>
    <t>2022-04-16T04:15:18Z</t>
  </si>
  <si>
    <t>2022-08-25T13:48:58Z</t>
  </si>
  <si>
    <t>academic/awesome-datascience</t>
  </si>
  <si>
    <t>2014-07-05T07:07:43Z</t>
  </si>
  <si>
    <t>2022-08-25T14:11:32Z</t>
  </si>
  <si>
    <t>pmndrs/react-three-fiber</t>
  </si>
  <si>
    <t>2019-02-25T14:31:51Z</t>
  </si>
  <si>
    <t>2022-08-25T13:46:28Z</t>
  </si>
  <si>
    <t>verekia/js-stack-from-scratch</t>
  </si>
  <si>
    <t>2016-10-02T13:31:23Z</t>
  </si>
  <si>
    <t>2022-08-25T10:17:39Z</t>
  </si>
  <si>
    <t>palantir/blueprint</t>
  </si>
  <si>
    <t>2016-10-25T21:17:50Z</t>
  </si>
  <si>
    <t>2022-08-25T12:19:57Z</t>
  </si>
  <si>
    <t>osquery/osquery</t>
  </si>
  <si>
    <t>2014-07-29T20:27:33Z</t>
  </si>
  <si>
    <t>openssl/openssl</t>
  </si>
  <si>
    <t>2013-01-15T22:34:48Z</t>
  </si>
  <si>
    <t>2022-08-25T12:16:00Z</t>
  </si>
  <si>
    <t>norvig/pytudes</t>
  </si>
  <si>
    <t>2017-03-01T05:43:35Z</t>
  </si>
  <si>
    <t>2022-08-25T06:00:43Z</t>
  </si>
  <si>
    <t>MLEveryday/100-Days-Of-ML-Code</t>
  </si>
  <si>
    <t>2018-08-05T13:32:48Z</t>
  </si>
  <si>
    <t>2022-08-25T12:36:24Z</t>
  </si>
  <si>
    <t>rome/tools</t>
  </si>
  <si>
    <t>2020-02-20T05:57:33Z</t>
  </si>
  <si>
    <t>2022-08-25T14:23:38Z</t>
  </si>
  <si>
    <t>PostgREST/postgrest</t>
  </si>
  <si>
    <t>2014-06-13T00:23:00Z</t>
  </si>
  <si>
    <t>2022-08-25T08:06:54Z</t>
  </si>
  <si>
    <t>vnpy/vnpy</t>
  </si>
  <si>
    <t>2015-03-02T03:36:58Z</t>
  </si>
  <si>
    <t>davideuler/architecture.of.internet-product</t>
  </si>
  <si>
    <t>2018-04-30T10:25:31Z</t>
  </si>
  <si>
    <t>2022-08-25T11:13:26Z</t>
  </si>
  <si>
    <t>pnpm/pnpm</t>
  </si>
  <si>
    <t>2016-01-28T07:40:43Z</t>
  </si>
  <si>
    <t>2022-08-25T14:10:21Z</t>
  </si>
  <si>
    <t>taosdata/TDengine</t>
  </si>
  <si>
    <t>2019-07-11T08:33:48Z</t>
  </si>
  <si>
    <t>2022-08-25T11:55:35Z</t>
  </si>
  <si>
    <t>go-delve/delve</t>
  </si>
  <si>
    <t>2014-05-20T19:24:43Z</t>
  </si>
  <si>
    <t>2022-08-25T12:47:28Z</t>
  </si>
  <si>
    <t>hapijs/joi</t>
  </si>
  <si>
    <t>2012-09-16T16:38:06Z</t>
  </si>
  <si>
    <t>2022-08-25T14:16:07Z</t>
  </si>
  <si>
    <t>jumpserver/jumpserver</t>
  </si>
  <si>
    <t>2014-07-04T03:54:59Z</t>
  </si>
  <si>
    <t>2022-08-25T11:21:00Z</t>
  </si>
  <si>
    <t>TanStack/table</t>
  </si>
  <si>
    <t>2016-10-20T17:25:08Z</t>
  </si>
  <si>
    <t>chalk/chalk</t>
  </si>
  <si>
    <t>2013-08-03T00:20:12Z</t>
  </si>
  <si>
    <t>2022-08-25T12:17:56Z</t>
  </si>
  <si>
    <t>vadimdemedes/ink</t>
  </si>
  <si>
    <t>2017-06-12T06:12:28Z</t>
  </si>
  <si>
    <t>2022-08-25T13:56:11Z</t>
  </si>
  <si>
    <t>Popmotion/popmotion</t>
  </si>
  <si>
    <t>2014-08-17T16:23:07Z</t>
  </si>
  <si>
    <t>2022-08-25T07:34:45Z</t>
  </si>
  <si>
    <t>freqtrade/freqtrade</t>
  </si>
  <si>
    <t>2017-05-17T23:48:53Z</t>
  </si>
  <si>
    <t>2022-08-25T12:32:52Z</t>
  </si>
  <si>
    <t>graphql/graphql-js</t>
  </si>
  <si>
    <t>2015-06-30T12:16:50Z</t>
  </si>
  <si>
    <t>2022-08-25T03:27:38Z</t>
  </si>
  <si>
    <t>TeamStuQ/skill-map</t>
  </si>
  <si>
    <t>2015-11-17T11:17:38Z</t>
  </si>
  <si>
    <t>2022-08-25T10:20:57Z</t>
  </si>
  <si>
    <t>ogham/exa</t>
  </si>
  <si>
    <t>2014-05-22T12:45:16Z</t>
  </si>
  <si>
    <t>2022-08-25T14:34:55Z</t>
  </si>
  <si>
    <t>facebookresearch/fairseq</t>
  </si>
  <si>
    <t>2017-08-29T16:26:12Z</t>
  </si>
  <si>
    <t>2022-08-25T14:35:28Z</t>
  </si>
  <si>
    <t>ossrs/srs</t>
  </si>
  <si>
    <t>2015-04-29T06:59:32Z</t>
  </si>
  <si>
    <t>2022-08-25T10:20:34Z</t>
  </si>
  <si>
    <t>didi/DoKit</t>
  </si>
  <si>
    <t>2018-08-14T10:32:07Z</t>
  </si>
  <si>
    <t>2022-08-25T08:41:57Z</t>
  </si>
  <si>
    <t>qier222/YesPlayMusic</t>
  </si>
  <si>
    <t>2020-10-09T10:04:21Z</t>
  </si>
  <si>
    <t>2022-08-25T13:52:30Z</t>
  </si>
  <si>
    <t>firecracker-microvm/firecracker</t>
  </si>
  <si>
    <t>2017-10-19T06:18:47Z</t>
  </si>
  <si>
    <t>2022-08-25T12:35:26Z</t>
  </si>
  <si>
    <t>asim/go-micro</t>
  </si>
  <si>
    <t>2015-01-13T23:30:18Z</t>
  </si>
  <si>
    <t>2022-08-25T13:37:22Z</t>
  </si>
  <si>
    <t>tobiasahlin/SpinKit</t>
  </si>
  <si>
    <t>2013-12-12T23:29:41Z</t>
  </si>
  <si>
    <t>2022-08-25T12:25:04Z</t>
  </si>
  <si>
    <t>remix-run/remix</t>
  </si>
  <si>
    <t>2020-10-26T19:57:28Z</t>
  </si>
  <si>
    <t>2022-08-25T14:17:37Z</t>
  </si>
  <si>
    <t>urfave/cli</t>
  </si>
  <si>
    <t>2013-07-13T19:32:06Z</t>
  </si>
  <si>
    <t>2022-08-25T11:25:37Z</t>
  </si>
  <si>
    <t>dapr/dapr</t>
  </si>
  <si>
    <t>2019-06-19T00:49:06Z</t>
  </si>
  <si>
    <t>2022-08-25T08:29:50Z</t>
  </si>
  <si>
    <t>nikitavoloboev/my-mac-os</t>
  </si>
  <si>
    <t>2016-03-04T12:26:34Z</t>
  </si>
  <si>
    <t>2022-08-24T23:39:13Z</t>
  </si>
  <si>
    <t>n0shake/Public-APIs</t>
  </si>
  <si>
    <t>2016-01-13T18:53:25Z</t>
  </si>
  <si>
    <t>2022-08-25T06:17:47Z</t>
  </si>
  <si>
    <t>vuejs/vue-router</t>
  </si>
  <si>
    <t>2013-12-11T19:37:46Z</t>
  </si>
  <si>
    <t>2022-08-25T03:01:05Z</t>
  </si>
  <si>
    <t>nostalgic-css/NES.css</t>
  </si>
  <si>
    <t>2018-09-24T01:49:11Z</t>
  </si>
  <si>
    <t>2022-08-25T10:17:28Z</t>
  </si>
  <si>
    <t>pytorch/examples</t>
  </si>
  <si>
    <t>2016-08-24T03:12:48Z</t>
  </si>
  <si>
    <t>2022-08-25T08:35:52Z</t>
  </si>
  <si>
    <t>SpaceVim/SpaceVim</t>
  </si>
  <si>
    <t>2016-12-26T04:40:55Z</t>
  </si>
  <si>
    <t>2022-08-25T14:00:20Z</t>
  </si>
  <si>
    <t>iawia002/lux</t>
  </si>
  <si>
    <t>2018-02-24T11:29:03Z</t>
  </si>
  <si>
    <t>jorgebucaran/hyperapp</t>
  </si>
  <si>
    <t>2017-01-20T05:20:21Z</t>
  </si>
  <si>
    <t>2022-08-25T05:40:12Z</t>
  </si>
  <si>
    <t>goldbergyoni/javascript-testing-best-practices</t>
  </si>
  <si>
    <t>2019-07-04T11:08:12Z</t>
  </si>
  <si>
    <t>2022-08-25T13:59:11Z</t>
  </si>
  <si>
    <t>ftlabs/fastclick</t>
  </si>
  <si>
    <t>2012-02-13T08:38:00Z</t>
  </si>
  <si>
    <t>2022-08-25T10:55:43Z</t>
  </si>
  <si>
    <t>PaddlePaddle/Paddle</t>
  </si>
  <si>
    <t>2016-08-15T06:59:08Z</t>
  </si>
  <si>
    <t>2022-08-25T12:05:22Z</t>
  </si>
  <si>
    <t>SnapKit/SnapKit</t>
  </si>
  <si>
    <t>2014-06-05T21:13:40Z</t>
  </si>
  <si>
    <t>2022-08-25T11:56:44Z</t>
  </si>
  <si>
    <t>recharts/recharts</t>
  </si>
  <si>
    <t>2015-08-07T06:50:27Z</t>
  </si>
  <si>
    <t>2022-08-25T13:23:29Z</t>
  </si>
  <si>
    <t>reduxjs/reselect</t>
  </si>
  <si>
    <t>2015-07-01T11:06:45Z</t>
  </si>
  <si>
    <t>2022-08-25T09:30:00Z</t>
  </si>
  <si>
    <t>shimohq/chinese-programmer-wrong-pronunciation</t>
  </si>
  <si>
    <t>2017-02-15T09:02:40Z</t>
  </si>
  <si>
    <t>2022-08-25T14:34:25Z</t>
  </si>
  <si>
    <t>google/eng-practices</t>
  </si>
  <si>
    <t>2019-09-04T20:47:01Z</t>
  </si>
  <si>
    <t>2022-08-25T08:48:51Z</t>
  </si>
  <si>
    <t>dhg/Skeleton</t>
  </si>
  <si>
    <t>2011-04-30T20:04:24Z</t>
  </si>
  <si>
    <t>2022-08-24T20:33:42Z</t>
  </si>
  <si>
    <t>go-kratos/kratos</t>
  </si>
  <si>
    <t>2019-01-10T10:42:31Z</t>
  </si>
  <si>
    <t>2022-08-25T13:01:24Z</t>
  </si>
  <si>
    <t>kdeldycke/awesome-falsehood</t>
  </si>
  <si>
    <t>2016-09-08T09:13:47Z</t>
  </si>
  <si>
    <t>2022-08-25T13:07:32Z</t>
  </si>
  <si>
    <t>refined-github/refined-github</t>
  </si>
  <si>
    <t>2016-02-15T16:45:02Z</t>
  </si>
  <si>
    <t>2022-08-25T14:14:39Z</t>
  </si>
  <si>
    <t>websockets/ws</t>
  </si>
  <si>
    <t>2011-11-09T22:32:45Z</t>
  </si>
  <si>
    <t>2022-08-25T10:43:43Z</t>
  </si>
  <si>
    <t>ruanyf/jstraining</t>
  </si>
  <si>
    <t>2016-10-27T12:00:26Z</t>
  </si>
  <si>
    <t>2022-08-24T15:45:46Z</t>
  </si>
  <si>
    <t>elunez/eladmin</t>
  </si>
  <si>
    <t>2018-12-14T08:54:24Z</t>
  </si>
  <si>
    <t>2022-08-25T08:46:00Z</t>
  </si>
  <si>
    <t>sebastianbergmann/phpunit</t>
  </si>
  <si>
    <t>2009-12-24T13:16:23Z</t>
  </si>
  <si>
    <t>2022-08-25T07:18:17Z</t>
  </si>
  <si>
    <t>google/flatbuffers</t>
  </si>
  <si>
    <t>2014-05-19T18:33:01Z</t>
  </si>
  <si>
    <t>2022-08-25T13:40:24Z</t>
  </si>
  <si>
    <t>PHPMailer/PHPMailer</t>
  </si>
  <si>
    <t>2011-08-23T07:57:17Z</t>
  </si>
  <si>
    <t>2022-08-25T09:58:38Z</t>
  </si>
  <si>
    <t>Awesome-HarmonyOS/HarmonyOS</t>
  </si>
  <si>
    <t>2019-08-09T11:24:00Z</t>
  </si>
  <si>
    <t>2022-08-25T06:30:36Z</t>
  </si>
  <si>
    <t>javascript-tutorial/en.javascript.info</t>
  </si>
  <si>
    <t>2017-06-03T14:27:57Z</t>
  </si>
  <si>
    <t>2022-08-25T14:40:55Z</t>
  </si>
  <si>
    <t>flameshot-org/flameshot</t>
  </si>
  <si>
    <t>2017-05-10T19:44:51Z</t>
  </si>
  <si>
    <t>2022-08-25T13:04:31Z</t>
  </si>
  <si>
    <t>Prinzhorn/skrollr</t>
  </si>
  <si>
    <t>2012-03-18T15:41:35Z</t>
  </si>
  <si>
    <t>2022-08-23T18:35:35Z</t>
  </si>
  <si>
    <t>philc/vimium</t>
  </si>
  <si>
    <t>2009-09-20T07:08:19Z</t>
  </si>
  <si>
    <t>2022-08-25T09:04:19Z</t>
  </si>
  <si>
    <t>jitsi/jitsi-meet</t>
  </si>
  <si>
    <t>2013-12-16T12:51:09Z</t>
  </si>
  <si>
    <t>2022-08-24T17:38:15Z</t>
  </si>
  <si>
    <t>google/web-starter-kit</t>
  </si>
  <si>
    <t>2014-04-07T08:45:18Z</t>
  </si>
  <si>
    <t>2022-08-24T06:39:33Z</t>
  </si>
  <si>
    <t>changkun/modern-cpp-tutorial</t>
  </si>
  <si>
    <t>2016-08-19T14:39:15Z</t>
  </si>
  <si>
    <t>2022-08-25T14:33:58Z</t>
  </si>
  <si>
    <t>checkcheckzz/system-design-interview</t>
  </si>
  <si>
    <t>2014-05-18T02:40:53Z</t>
  </si>
  <si>
    <t>2022-08-25T13:50:10Z</t>
  </si>
  <si>
    <t>google/mediapipe</t>
  </si>
  <si>
    <t>2019-06-13T19:16:41Z</t>
  </si>
  <si>
    <t>2022-08-25T12:25:33Z</t>
  </si>
  <si>
    <t>ai/nanoid</t>
  </si>
  <si>
    <t>2017-08-05T05:24:35Z</t>
  </si>
  <si>
    <t>2022-08-25T13:48:21Z</t>
  </si>
  <si>
    <t>wenyan-lang/wenyan</t>
  </si>
  <si>
    <t>2019-12-08T20:21:32Z</t>
  </si>
  <si>
    <t>2022-08-25T05:15:55Z</t>
  </si>
  <si>
    <t>phoenixframework/phoenix</t>
  </si>
  <si>
    <t>2014-01-20T14:14:11Z</t>
  </si>
  <si>
    <t>2022-08-25T13:06:08Z</t>
  </si>
  <si>
    <t>FelisCatus/SwitchyOmega</t>
  </si>
  <si>
    <t>2012-06-08T15:32:30Z</t>
  </si>
  <si>
    <t>2022-08-25T02:44:14Z</t>
  </si>
  <si>
    <t>CoffeeScript</t>
  </si>
  <si>
    <t>tachiyomiorg/tachiyomi</t>
  </si>
  <si>
    <t>2015-10-07T09:51:12Z</t>
  </si>
  <si>
    <t>2022-08-25T13:55:14Z</t>
  </si>
  <si>
    <t>requarks/wiki</t>
  </si>
  <si>
    <t>2016-08-16T19:35:26Z</t>
  </si>
  <si>
    <t>2022-08-25T12:58:01Z</t>
  </si>
  <si>
    <t>aseprite/aseprite</t>
  </si>
  <si>
    <t>2014-08-19T23:44:50Z</t>
  </si>
  <si>
    <t>adobe-fonts/source-code-pro</t>
  </si>
  <si>
    <t>2012-08-09T23:14:02Z</t>
  </si>
  <si>
    <t>2022-08-25T01:55:45Z</t>
  </si>
  <si>
    <t>dgraph-io/dgraph</t>
  </si>
  <si>
    <t>2015-08-25T07:15:56Z</t>
  </si>
  <si>
    <t>2022-08-25T11:07:37Z</t>
  </si>
  <si>
    <t>square/picasso</t>
  </si>
  <si>
    <t>2013-05-14T15:07:47Z</t>
  </si>
  <si>
    <t>2022-08-25T09:49:45Z</t>
  </si>
  <si>
    <t>COUNT de Idade (Anos)</t>
  </si>
  <si>
    <t>Metrica</t>
  </si>
  <si>
    <t>Menor Valor</t>
  </si>
  <si>
    <t>Primeiro Quartil</t>
  </si>
  <si>
    <t>Terceiro Quartil</t>
  </si>
  <si>
    <t>Maior Valor</t>
  </si>
  <si>
    <t>Total geral</t>
  </si>
  <si>
    <t>Total de Pull Requests</t>
  </si>
  <si>
    <t>Total de Releases</t>
  </si>
  <si>
    <t>Tempo Desde a Ultima Atualização (Horas)</t>
  </si>
  <si>
    <t>COUNTA de primaryLanguage.name</t>
  </si>
  <si>
    <t>Total de Issues Fechadas</t>
  </si>
  <si>
    <t>Total de Issues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</si>
</sst>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HH:mm:ss"/>
    <numFmt numFmtId="166" formatCode="0.0000000"/>
    <numFmt numFmtId="167" formatCode="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0"/>
      <name val="Arial"/>
      <scheme val="minor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rgb="FFA3B2CC"/>
        <bgColor rgb="FFA3B2CC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166" xfId="0" applyAlignment="1" applyFont="1" applyNumberFormat="1">
      <alignment readingOrder="0"/>
    </xf>
    <xf borderId="0" fillId="2" fontId="1" numFmtId="167" xfId="0" applyAlignment="1" applyFont="1" applyNumberFormat="1">
      <alignment horizontal="center" readingOrder="0"/>
    </xf>
    <xf borderId="0" fillId="2" fontId="1" numFmtId="164" xfId="0" applyFont="1" applyNumberFormat="1"/>
    <xf borderId="0" fillId="2" fontId="1" numFmtId="165" xfId="0" applyFont="1" applyNumberFormat="1"/>
    <xf borderId="0" fillId="2" fontId="1" numFmtId="0" xfId="0" applyFont="1"/>
    <xf borderId="0" fillId="2" fontId="1" numFmtId="0" xfId="0" applyFont="1"/>
    <xf borderId="0" fillId="2" fontId="1" numFmtId="167" xfId="0" applyAlignment="1" applyFont="1" applyNumberFormat="1">
      <alignment horizontal="center"/>
    </xf>
    <xf borderId="0" fillId="2" fontId="1" numFmtId="167" xfId="0" applyFont="1" applyNumberFormat="1"/>
    <xf borderId="0" fillId="3" fontId="2" numFmtId="0" xfId="0" applyAlignment="1" applyFill="1" applyFont="1">
      <alignment horizontal="left" readingOrder="0"/>
    </xf>
    <xf borderId="0" fillId="0" fontId="1" numFmtId="0" xfId="0" applyFont="1"/>
    <xf borderId="0" fillId="4" fontId="3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/>
    </xf>
    <xf borderId="0" fillId="6" fontId="4" numFmtId="0" xfId="0" applyAlignment="1" applyFont="1">
      <alignment horizontal="center"/>
    </xf>
    <xf borderId="0" fillId="6" fontId="1" numFmtId="2" xfId="0" applyAlignment="1" applyFont="1" applyNumberFormat="1">
      <alignment horizontal="center"/>
    </xf>
    <xf borderId="0" fillId="6" fontId="4" numFmtId="2" xfId="0" applyAlignment="1" applyFont="1" applyNumberFormat="1">
      <alignment horizontal="center"/>
    </xf>
    <xf borderId="0" fillId="6" fontId="1" numFmtId="1" xfId="0" applyAlignment="1" applyFont="1" applyNumberFormat="1">
      <alignment horizontal="center"/>
    </xf>
    <xf borderId="0" fillId="6" fontId="4" numFmtId="1" xfId="0" applyAlignment="1" applyFont="1" applyNumberFormat="1">
      <alignment horizontal="center"/>
    </xf>
    <xf borderId="0" fillId="6" fontId="1" numFmtId="167" xfId="0" applyAlignment="1" applyFont="1" applyNumberFormat="1">
      <alignment horizontal="center"/>
    </xf>
    <xf borderId="0" fillId="6" fontId="4" numFmtId="167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Idade dos Repositórios Mais Populares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'Questionamento 01'!$B$1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'Questionamento 01'!$A$2:$A$16</c:f>
            </c:strRef>
          </c:cat>
          <c:val>
            <c:numRef>
              <c:f>'Questionamento 01'!$B$2:$B$16</c:f>
              <c:numCache/>
            </c:numRef>
          </c:val>
        </c:ser>
        <c:axId val="1969920964"/>
        <c:axId val="2064593960"/>
      </c:barChart>
      <c:catAx>
        <c:axId val="19699209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Idade (Anos)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593960"/>
      </c:catAx>
      <c:valAx>
        <c:axId val="20645939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Repositorios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920964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Idade dos Repositorios Mais Populares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'Questionamento 01'!$E$1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'Questionamento 01'!$C$2</c:f>
            </c:strRef>
          </c:cat>
          <c:val>
            <c:numRef>
              <c:f>'Questionamento 01'!$E$2</c:f>
              <c:numCache/>
            </c:numRef>
          </c:val>
          <c:smooth val="0"/>
        </c:ser>
        <c:ser>
          <c:idx val="1"/>
          <c:order val="1"/>
          <c:tx>
            <c:strRef>
              <c:f>'Questionamento 01'!$G$1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'Questionamento 01'!$C$2</c:f>
            </c:strRef>
          </c:cat>
          <c:val>
            <c:numRef>
              <c:f>'Questionamento 01'!$G$2</c:f>
              <c:numCache/>
            </c:numRef>
          </c:val>
          <c:smooth val="0"/>
        </c:ser>
        <c:ser>
          <c:idx val="2"/>
          <c:order val="2"/>
          <c:tx>
            <c:strRef>
              <c:f>'Questionamento 01'!$D$1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'Questionamento 01'!$C$2</c:f>
            </c:strRef>
          </c:cat>
          <c:val>
            <c:numRef>
              <c:f>'Questionamento 01'!$D$2</c:f>
              <c:numCache/>
            </c:numRef>
          </c:val>
          <c:smooth val="0"/>
        </c:ser>
        <c:ser>
          <c:idx val="3"/>
          <c:order val="3"/>
          <c:tx>
            <c:strRef>
              <c:f>'Questionamento 01'!$F$1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'Questionamento 01'!$C$2</c:f>
            </c:strRef>
          </c:cat>
          <c:val>
            <c:numRef>
              <c:f>'Questionamento 01'!$F$2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746637122"/>
        <c:axId val="1495052281"/>
      </c:stockChart>
      <c:dateAx>
        <c:axId val="174663712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052281"/>
      </c:dateAx>
      <c:valAx>
        <c:axId val="1495052281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637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Pull Requests dos Repositórios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'Questionamento 02'!$A$2</c:f>
            </c:strRef>
          </c:cat>
          <c:val>
            <c:numRef>
              <c:f>'Questionamento 02'!$C$2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'Questionamento 02'!$A$2</c:f>
            </c:strRef>
          </c:cat>
          <c:val>
            <c:numRef>
              <c:f>'Questionamento 02'!$E$2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'Questionamento 02'!$A$2</c:f>
            </c:strRef>
          </c:cat>
          <c:val>
            <c:numRef>
              <c:f>'Questionamento 02'!$B$2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'Questionamento 02'!$A$2</c:f>
            </c:strRef>
          </c:cat>
          <c:val>
            <c:numRef>
              <c:f>'Questionamento 02'!$D$2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740563696"/>
        <c:axId val="341235706"/>
      </c:stockChart>
      <c:dateAx>
        <c:axId val="74056369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235706"/>
      </c:dateAx>
      <c:valAx>
        <c:axId val="341235706"/>
        <c:scaling>
          <c:orientation val="minMax"/>
          <c:max val="1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563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Releases dos Repositórios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'Questionamento 03'!$A$2</c:f>
            </c:strRef>
          </c:cat>
          <c:val>
            <c:numRef>
              <c:f>'Questionamento 03'!$C$2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'Questionamento 03'!$A$2</c:f>
            </c:strRef>
          </c:cat>
          <c:val>
            <c:numRef>
              <c:f>'Questionamento 03'!$E$2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'Questionamento 03'!$A$2</c:f>
            </c:strRef>
          </c:cat>
          <c:val>
            <c:numRef>
              <c:f>'Questionamento 03'!$B$2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'Questionamento 03'!$A$2</c:f>
            </c:strRef>
          </c:cat>
          <c:val>
            <c:numRef>
              <c:f>'Questionamento 03'!$D$2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729282049"/>
        <c:axId val="1330534299"/>
      </c:stockChart>
      <c:dateAx>
        <c:axId val="72928204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534299"/>
      </c:dateAx>
      <c:valAx>
        <c:axId val="1330534299"/>
        <c:scaling>
          <c:orientation val="minMax"/>
          <c:max val="2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282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Ultimo Update dos Repositórios (Horas)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'Questionamento 04'!$A$2</c:f>
            </c:strRef>
          </c:cat>
          <c:val>
            <c:numRef>
              <c:f>'Questionamento 04'!$C$2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'Questionamento 04'!$A$2</c:f>
            </c:strRef>
          </c:cat>
          <c:val>
            <c:numRef>
              <c:f>'Questionamento 04'!$E$2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'Questionamento 04'!$A$2</c:f>
            </c:strRef>
          </c:cat>
          <c:val>
            <c:numRef>
              <c:f>'Questionamento 04'!$B$2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'Questionamento 04'!$A$2</c:f>
            </c:strRef>
          </c:cat>
          <c:val>
            <c:numRef>
              <c:f>'Questionamento 04'!$D$2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358522523"/>
        <c:axId val="2123711495"/>
      </c:stockChart>
      <c:dateAx>
        <c:axId val="358522523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711495"/>
      </c:dateAx>
      <c:valAx>
        <c:axId val="2123711495"/>
        <c:scaling>
          <c:orientation val="minMax"/>
          <c:max val="2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522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Liguagens dos Reposiotrios Mais Populares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'Questionamento 05'!$B$1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'Questionamento 05'!$A$2:$A$47</c:f>
            </c:strRef>
          </c:cat>
          <c:val>
            <c:numRef>
              <c:f>'Questionamento 05'!$B$2:$B$47</c:f>
              <c:numCache/>
            </c:numRef>
          </c:val>
        </c:ser>
        <c:axId val="1892289200"/>
        <c:axId val="105032415"/>
      </c:barChart>
      <c:catAx>
        <c:axId val="189228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32415"/>
      </c:catAx>
      <c:valAx>
        <c:axId val="105032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Repositórios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289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Issues dos Repositórios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'Questionamento 06'!$A$2:$A$3</c:f>
            </c:strRef>
          </c:cat>
          <c:val>
            <c:numRef>
              <c:f>'Questionamento 06'!$C$2:$C$3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'Questionamento 06'!$A$2:$A$3</c:f>
            </c:strRef>
          </c:cat>
          <c:val>
            <c:numRef>
              <c:f>'Questionamento 06'!$E$2:$E$3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'Questionamento 06'!$A$2:$A$3</c:f>
            </c:strRef>
          </c:cat>
          <c:val>
            <c:numRef>
              <c:f>'Questionamento 06'!$B$2:$B$3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'Questionamento 06'!$A$2:$A$3</c:f>
            </c:strRef>
          </c:cat>
          <c:val>
            <c:numRef>
              <c:f>'Questionamento 06'!$D$2:$D$3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817668499"/>
        <c:axId val="584424388"/>
      </c:stockChart>
      <c:dateAx>
        <c:axId val="81766849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424388"/>
      </c:dateAx>
      <c:valAx>
        <c:axId val="58442438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668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Razão das Issues dos Repositórios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'Questionamento 06'!$A$4</c:f>
            </c:strRef>
          </c:cat>
          <c:val>
            <c:numRef>
              <c:f>'Questionamento 06'!$C$4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'Questionamento 06'!$A$4</c:f>
            </c:strRef>
          </c:cat>
          <c:val>
            <c:numRef>
              <c:f>'Questionamento 06'!$E$4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'Questionamento 06'!$A$4</c:f>
            </c:strRef>
          </c:cat>
          <c:val>
            <c:numRef>
              <c:f>'Questionamento 06'!$B$4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'Questionamento 06'!$A$4</c:f>
            </c:strRef>
          </c:cat>
          <c:val>
            <c:numRef>
              <c:f>'Questionamento 06'!$D$4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619025261"/>
        <c:axId val="1641657673"/>
      </c:stockChart>
      <c:dateAx>
        <c:axId val="161902526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657673"/>
      </c:dateAx>
      <c:valAx>
        <c:axId val="1641657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025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9525</xdr:rowOff>
    </xdr:from>
    <xdr:ext cx="5762625" cy="40195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0</xdr:colOff>
      <xdr:row>22</xdr:row>
      <xdr:rowOff>9525</xdr:rowOff>
    </xdr:from>
    <xdr:ext cx="576262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0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8782050" cy="44672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695325</xdr:colOff>
      <xdr:row>0</xdr:row>
      <xdr:rowOff>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695325</xdr:colOff>
      <xdr:row>17</xdr:row>
      <xdr:rowOff>76200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01" sheet="data"/>
  </cacheSource>
  <cacheFields>
    <cacheField name="nameWithOwner" numFmtId="0">
      <sharedItems>
        <s v="freeCodeCamp/freeCodeCamp"/>
        <s v="996icu/996.ICU"/>
        <s v="EbookFoundation/free-programming-books"/>
        <s v="jwasham/coding-interview-university"/>
        <s v="sindresorhus/awesome"/>
        <s v="kamranahmedse/developer-roadmap"/>
        <s v="public-apis/public-apis"/>
        <s v="vuejs/vue"/>
        <s v="donnemartin/system-design-primer"/>
        <s v="facebook/react"/>
        <s v="tensorflow/tensorflow"/>
        <s v="codecrafters-io/build-your-own-x"/>
        <s v="twbs/bootstrap"/>
        <s v="getify/You-Dont-Know-JS"/>
        <s v="CyC2018/CS-Notes"/>
        <s v="ohmyzsh/ohmyzsh"/>
        <s v="trekhleb/javascript-algorithms"/>
        <s v="flutter/flutter"/>
        <s v="TheAlgorithms/Python"/>
        <s v="vinta/awesome-python"/>
        <s v="github/gitignore"/>
        <s v="torvalds/linux"/>
        <s v="microsoft/vscode"/>
        <s v="Snailclimb/JavaGuide"/>
        <s v="airbnb/javascript"/>
        <s v="jackfrued/Python-100-Days"/>
        <s v="ossu/computer-science"/>
        <s v="ytdl-org/youtube-dl"/>
        <s v="labuladong/fucking-algorithm"/>
        <s v="jlevy/the-art-of-command-line"/>
        <s v="facebook/react-native"/>
        <s v="electron/electron"/>
        <s v="golang/go"/>
        <s v="d3/d3"/>
        <s v="30-seconds/30-seconds-of-code"/>
        <s v="awesome-selfhosted/awesome-selfhosted"/>
        <s v="facebook/create-react-app"/>
        <s v="axios/axios"/>
        <s v="justjavac/free-programming-books-zh_CN"/>
        <s v="vercel/next.js"/>
        <s v="kubernetes/kubernetes"/>
        <s v="nodejs/node"/>
        <s v="avelino/awesome-go"/>
        <s v="microsoft/terminal"/>
        <s v="denoland/deno"/>
        <s v="mrdoob/three.js"/>
        <s v="microsoft/TypeScript"/>
        <s v="angular/angular"/>
        <s v="ant-design/ant-design"/>
        <s v="goldbergyoni/nodebestpractices"/>
        <s v="mui/material-ui"/>
        <s v="puppeteer/puppeteer"/>
        <s v="PanJiaChen/vue-element-admin"/>
        <s v="yangshun/tech-interview-handbook"/>
        <s v="microsoft/PowerToys"/>
        <s v="iluwatar/java-design-patterns"/>
        <s v="trimstray/the-book-of-secret-knowledge"/>
        <s v="practical-tutorials/project-based-learning"/>
        <s v="animate-css/animate.css"/>
        <s v="tensorflow/models"/>
        <s v="storybookjs/storybook"/>
        <s v="nvbn/thefuck"/>
        <s v="ryanmcdermott/clean-code-javascript"/>
        <s v="MisterBooo/LeetCodeAnimation"/>
        <s v="rust-lang/rust"/>
        <s v="laravel/laravel"/>
        <s v="FortAwesome/Font-Awesome"/>
        <s v="Genymobile/scrcpy"/>
        <s v="huggingface/transformers"/>
        <s v="gothinkster/realworld"/>
        <s v="vuejs/awesome-vue"/>
        <s v="django/django"/>
        <s v="bitcoin/bitcoin"/>
        <s v="tonsky/FiraCode"/>
        <s v="doocs/advanced-java"/>
        <s v="moby/moby"/>
        <s v="papers-we-love/papers-we-love"/>
        <s v="opencv/opencv"/>
        <s v="typicode/json-server"/>
        <s v="spring-projects/spring-boot"/>
        <s v="gin-gonic/gin"/>
        <s v="sveltejs/svelte"/>
        <s v="webpack/webpack"/>
        <s v="hakimel/reveal.js"/>
        <s v="thedaviddias/Front-End-Checklist"/>
        <s v="mtdvio/every-programmer-should-know"/>
        <s v="gohugoio/hugo"/>
        <s v="elastic/elasticsearch"/>
        <s v="macrozheng/mall"/>
        <s v="nvm-sh/nvm"/>
        <s v="apple/swift"/>
        <s v="netdata/netdata"/>
        <s v="pallets/flask"/>
        <s v="tailwindlabs/tailwindcss"/>
        <s v="angular/angular.js"/>
        <s v="fatedier/frp"/>
        <s v="reduxjs/redux"/>
        <s v="521xueweihan/HelloGitHub"/>
        <s v="atom/atom"/>
        <s v="resume/resume.github.com"/>
        <s v="pytorch/pytorch"/>
        <s v="expressjs/express"/>
        <s v="kdn251/interviews"/>
        <s v="chartjs/Chart.js"/>
        <s v="ripienaar/free-for-dev"/>
        <s v="neovim/neovim"/>
        <s v="florinpop17/app-ideas"/>
        <s v="xingshaocheng/architect-awesome"/>
        <s v="jquery/jquery"/>
        <s v="socketio/socket.io"/>
        <s v="microsoft/Web-Dev-For-Beginners"/>
        <s v="redis/redis"/>
        <s v="adam-p/markdown-here"/>
        <s v="coder/code-server"/>
        <s v="keras-team/keras"/>
        <s v="protocolbuffers/protobuf"/>
        <s v="josephmisiti/awesome-machine-learning"/>
        <s v="Hack-with-Github/Awesome-Hacking"/>
        <s v="h5bp/Front-end-Developer-Interview-Questions"/>
        <s v="shadowsocks/shadowsocks-windows"/>
        <s v="iptv-org/iptv"/>
        <s v="home-assistant/core"/>
        <s v="ansible/ansible"/>
        <s v="lodash/lodash"/>
        <s v="kelseyhightower/nocode"/>
        <s v="gatsbyjs/gatsby"/>
        <s v="chrislgarry/Apollo-11"/>
        <s v="h5bp/html5-boilerplate"/>
        <s v="ElemeFE/element"/>
        <s v="godotengine/godot"/>
        <s v="jaywcjlove/awesome-mac"/>
        <s v="apache/echarts"/>
        <s v="leonardomso/33-js-concepts"/>
        <s v="rails/rails"/>
        <s v="scikit-learn/scikit-learn"/>
        <s v="awesomedata/awesome-public-datasets"/>
        <s v="grafana/grafana"/>
        <s v="enaqx/awesome-react"/>
        <s v="Semantic-Org/Semantic-UI"/>
        <s v="nestjs/nest"/>
        <s v="mermaid-js/mermaid"/>
        <s v="azl397985856/leetcode"/>
        <s v="DopplerHQ/awesome-interview-questions"/>
        <s v="tauri-apps/tauri"/>
        <s v="spring-projects/spring-framework"/>
        <s v="scutan90/DeepLearning-500-questions"/>
        <s v="tiangolo/fastapi"/>
        <s v="necolas/normalize.css"/>
        <s v="psf/requests"/>
        <s v="remix-run/react-router"/>
        <s v="ionic-team/ionic-framework"/>
        <s v="apache/superset"/>
        <s v="GrowingGit/GitHub-Chinese-Top-Charts"/>
        <s v="sdmg15/Best-websites-a-programmer-should-visit"/>
        <s v="TheAlgorithms/Java"/>
        <s v="strapi/strapi"/>
        <s v="python/cpython"/>
        <s v="lydiahallie/javascript-questions"/>
        <s v="moment/moment"/>
        <s v="vitejs/vite"/>
        <s v="Anduin2017/HowToCook"/>
        <s v="junegunn/fzf"/>
        <s v="3b1b/manim"/>
        <s v="tesseract-ocr/tesseract"/>
        <s v="google/material-design-icons"/>
        <s v="ReactiveX/RxJava"/>
        <s v="sindresorhus/awesome-nodejs"/>
        <s v="syncthing/syncthing"/>
        <s v="jgthms/bulma"/>
        <s v="hoppscotch/hoppscotch"/>
        <s v="ageitgey/face_recognition"/>
        <s v="google/guava"/>
        <s v="soimort/you-get"/>
        <s v="jekyll/jekyll"/>
        <s v="anuraghazra/github-readme-stats"/>
        <s v="NARKOZ/hacker-scripts"/>
        <s v="scrapy/scrapy"/>
        <s v="prometheus/prometheus"/>
        <s v="prettier/prettier"/>
        <s v="wasabeef/awesome-android-ui"/>
        <s v="bradtraversy/design-resources-for-developers"/>
        <s v="serverless/serverless"/>
        <s v="git/git"/>
        <s v="localstack/localstack"/>
        <s v="MunGell/awesome-for-beginners"/>
        <s v="juliangarnier/anime"/>
        <s v="meteor/meteor"/>
        <s v="minimaxir/big-list-of-naughty-strings"/>
        <s v="square/okhttp"/>
        <s v="fighting41love/funNLP"/>
        <s v="JetBrains/kotlin"/>
        <s v="ziishaned/learn-regex"/>
        <s v="caddyserver/caddy"/>
        <s v="Solido/awesome-flutter"/>
        <s v="prakhar1989/awesome-courses"/>
        <s v="aymericdamien/TensorFlow-Examples"/>
        <s v="deepfakes/faceswap"/>
        <s v="Developer-Y/cs-video-courses"/>
        <s v="microsoft/playwright"/>
        <s v="ColorlibHQ/AdminLTE"/>
        <s v="android/architecture-samples"/>
        <s v="alacritty/alacritty"/>
        <s v="danielmiessler/SecLists"/>
        <s v="babel/babel"/>
        <s v="parcel-bundler/parcel"/>
        <s v="nuxt/nuxt.js"/>
        <s v="etcd-io/etcd"/>
        <s v="TryGhost/Ghost"/>
        <s v="yarnpkg/yarn"/>
        <s v="astaxie/build-web-application-with-golang"/>
        <s v="gogs/gogs"/>
        <s v="ocornut/imgui"/>
        <s v="obsproject/obs-studio"/>
        <s v="DefinitelyTyped/DefinitelyTyped"/>
        <s v="swisskyrepo/PayloadsAllTheThings"/>
        <s v="square/retrofit"/>
        <s v="microsoft/ML-For-Beginners"/>
        <s v="vsouza/awesome-ios"/>
        <s v="binhnguyennus/awesome-scalability"/>
        <s v="v2ray/v2ray-core"/>
        <s v="JuliaLang/julia"/>
        <s v="cypress-io/cypress"/>
        <s v="iamkun/dayjs"/>
        <s v="tldr-pages/tldr"/>
        <s v="facebook/jest"/>
        <s v="mozilla/pdf.js"/>
        <s v="karan/Projects"/>
        <s v="fffaraz/awesome-cpp"/>
        <s v="traefik/traefik"/>
        <s v="Textualize/rich"/>
        <s v="k88hudson/git-flight-rules"/>
        <s v="nwjs/nw.js"/>
        <s v="vercel/hyper"/>
        <s v="ethereum/go-ethereum"/>
        <s v="x64dbg/x64dbg"/>
        <s v="bailicangdu/vue2-elm"/>
        <s v="algorithm-visualizer/algorithm-visualizer"/>
        <s v="Dogfalo/materialize"/>
        <s v="justjavac/awesome-wechat-weapp"/>
        <s v="ventoy/Ventoy"/>
        <s v="pi-hole/pi-hole"/>
        <s v="Avik-Jain/100-Days-Of-ML-Code"/>
        <s v="Alamofire/Alamofire"/>
        <s v="supabase/supabase"/>
        <s v="apache/dubbo"/>
        <s v="ryanoasis/nerd-fonts"/>
        <s v="Unitech/pm2"/>
        <s v="Eugeny/tabby"/>
        <s v="pixijs/pixijs"/>
        <s v="styled-components/styled-components"/>
        <s v="facebook/docusaurus"/>
        <s v="chinese-poetry/chinese-poetry"/>
        <s v="dcloudio/uni-app"/>
        <s v="impress/impress.js"/>
        <s v="sharkdp/bat"/>
        <s v="tiimgreen/github-cheat-sheet"/>
        <s v="FreeCodeCampChina/freecodecamp.cn"/>
        <s v="FiloSottile/mkcert"/>
        <s v="huginn/huginn"/>
        <s v="Alvin9999/new-pac"/>
        <s v="discourse/discourse"/>
        <s v="CorentinJ/Real-Time-Voice-Cloning"/>
        <s v="typescript-cheatsheets/react"/>
        <s v="GitSquared/edex-ui"/>
        <s v="fastlane/fastlane"/>
        <s v="commaai/openpilot"/>
        <s v="jakevdp/PythonDataScienceHandbook"/>
        <s v="PhilJay/MPAndroidChart"/>
        <s v="Leaflet/Leaflet"/>
        <s v="ngosang/trackerslist"/>
        <s v="marktext/marktext"/>
        <s v="grpc/grpc"/>
        <s v="hexojs/hexo"/>
        <s v="isocpp/CppCoreGuidelines"/>
        <s v="vuetifyjs/vuetify"/>
        <s v="pandas-dev/pandas"/>
        <s v="sherlock-project/sherlock"/>
        <s v="yangshun/front-end-interview-handbook"/>
        <s v="Fndroid/clash_for_windows_pkg"/>
        <s v="dypsilon/frontend-dev-bookmarks"/>
        <s v="faif/python-patterns"/>
        <s v="PowerShell/PowerShell"/>
        <s v="alex/what-happens-when"/>
        <s v="kamranahmedse/design-patterns-for-humans"/>
        <s v="minio/minio"/>
        <s v="nodejs/node-v0.x-archive"/>
        <s v="d2l-ai/d2l-zh"/>
        <s v="slatedocs/slate"/>
        <s v="iperov/DeepFaceLab"/>
        <s v="rclone/rclone"/>
        <s v="php/php-src"/>
        <s v="golang-standards/project-layout"/>
        <s v="0voice/interview_internal_reference"/>
        <s v="alvarotrigo/fullPage.js"/>
        <s v="NationalSecurityAgency/ghidra"/>
        <s v="hashicorp/terraform"/>
        <s v="videojs/video.js"/>
        <s v="apachecn/ailearning"/>
        <s v="google/zx"/>
        <s v="apache/spark"/>
        <s v="adobe/brackets"/>
        <s v="sahat/hackathon-starter"/>
        <s v="quilljs/quill"/>
        <s v="lerna/lerna"/>
        <s v="wagoodman/dive"/>
        <s v="AFNetworking/AFNetworking"/>
        <s v="akullpp/awesome-java"/>
        <s v="shadowsocks/shadowsocks"/>
        <s v="Homebrew/brew"/>
        <s v="agalwood/Motrix"/>
        <s v="airbnb/lottie-android"/>
        <s v="floodsung/Deep-Learning-Papers-Reading-Roadmap"/>
        <s v="koajs/koa"/>
        <s v="evanw/esbuild"/>
        <s v="bumptech/glide"/>
        <s v="RocketChat/Rocket.Chat"/>
        <s v="exacity/deeplearningbook-chinese"/>
        <s v="BVLC/caffe"/>
        <s v="shadowsocks/shadowsocks-android"/>
        <s v="Kong/kong"/>
        <s v="BurntSushi/ripgrep"/>
        <s v="wg/wrk"/>
        <s v="jgraph/drawio-desktop"/>
        <s v="ant-design/ant-design-pro"/>
        <s v="photonstorm/phaser"/>
        <s v="preactjs/preact"/>
        <s v="oven-sh/bun"/>
        <s v="gulpjs/gulp"/>
        <s v="zenorocha/clipboard.js"/>
        <s v="kelseyhightower/kubernetes-the-hard-way"/>
        <s v="open-guides/og-aws"/>
        <s v="nolimits4web/swiper"/>
        <s v="immutable-js/immutable-js"/>
        <s v="vuejs/core"/>
        <s v="pingcap/tidb"/>
        <s v="google/material-design-lite"/>
        <s v="excalidraw/excalidraw"/>
        <s v="google-research/bert"/>
        <s v="brillout/awesome-react-components"/>
        <s v="go-gitea/gitea"/>
        <s v="jondot/awesome-react-native"/>
        <s v="getsentry/sentry"/>
        <s v="serhii-londar/open-source-mac-os-apps"/>
        <s v="eugenp/tutorials"/>
        <s v="laurent22/joplin"/>
        <s v="AobingJava/JavaFamily"/>
        <s v="gorhill/uBlock"/>
        <s v="dylanaraps/pure-bash-bible"/>
        <s v="satwikkansal/wtfpython"/>
        <s v="NervJS/taro"/>
        <s v="google/styleguide"/>
        <s v="streamich/react-use"/>
        <s v="nlohmann/json"/>
        <s v="2dust/v2rayN"/>
        <s v="dkhamsing/open-source-ios-apps"/>
        <s v="nativefier/nativefier"/>
        <s v="skylot/jadx"/>
        <s v="XX-net/XX-Net"/>
        <s v="FFmpeg/FFmpeg"/>
        <s v="geekxh/hello-algorithm"/>
        <s v="Blankj/AndroidUtilCode"/>
        <s v="poteto/hiring-without-whiteboards"/>
        <s v="istio/istio"/>
        <s v="xitu/gold-miner"/>
        <s v="SheetJS/sheetjs"/>
        <s v="formulahendry/955.WLB"/>
        <s v="tabler/tabler"/>
        <s v="blueimp/jQuery-File-Upload"/>
        <s v="carbon-app/carbon"/>
        <s v="jaredpalmer/formik"/>
        <s v="iina/iina"/>
        <s v="Trinea/android-open-project"/>
        <s v="jgraph/drawio"/>
        <s v="youngyangyang04/leetcode-master"/>
        <s v="unknwon/the-way-to-go_ZH_CN"/>
        <s v="microsoft/monaco-editor"/>
        <s v="bilibili/ijkplayer"/>
        <s v="yt-dlp/yt-dlp"/>
        <s v="GokuMohandas/Made-With-ML"/>
        <s v="testerSunshine/12306"/>
        <s v="jeecgboot/jeecg-boot"/>
        <s v="romkatv/powerlevel10k"/>
        <s v="shadowsocks/ShadowsocksX-NG"/>
        <s v="Dreamacro/clash"/>
        <s v="google/leveldb"/>
        <s v="alibaba/arthas"/>
        <s v="LeCoupa/awesome-cheatsheets"/>
        <s v="vlang/v"/>
        <s v="react-hook-form/react-hook-form"/>
        <s v="ultralytics/yolov5"/>
        <s v="chubin/cheat.sh"/>
        <s v="gto76/python-cheatsheet"/>
        <s v="zxing/zxing"/>
        <s v="mastodon/mastodon"/>
        <s v="netty/netty"/>
        <s v="koalaman/shellcheck"/>
        <s v="date-fns/date-fns"/>
        <s v="cli/cli"/>
        <s v="nocodb/nocodb"/>
        <s v="metabase/metabase"/>
        <s v="freeCodeCamp/devdocs"/>
        <s v="TanStack/query"/>
        <s v="vuejs/vue-cli"/>
        <s v="go-gorm/gorm"/>
        <s v="dotnet/aspnetcore"/>
        <s v="joshbuchea/HEAD"/>
        <s v="foundation/foundation-sites"/>
        <s v="bayandin/awesome-awesomeness"/>
        <s v="jesseduffield/lazygit"/>
        <s v="certbot/certbot"/>
        <s v="typeorm/typeorm"/>
        <s v="fxsjy/jieba"/>
        <s v="lukehoban/es6features"/>
        <s v="CSSEGISandData/COVID-19"/>
        <s v="ariya/phantomjs"/>
        <s v="psf/black"/>
        <s v="meilisearch/meilisearch"/>
        <s v="junegunn/vim-plug"/>
        <s v="rust-lang/rustlings"/>
        <s v="beego/beego"/>
        <s v="bregman-arie/devops-exercises"/>
        <s v="react-boilerplate/react-boilerplate"/>
        <s v="topjohnwu/Magisk"/>
        <s v="iamadamdev/bypass-paywalls-chrome"/>
        <s v="sorrycc/awesome-javascript"/>
        <s v="mitmproxy/mitmproxy"/>
        <s v="pyenv/pyenv"/>
        <s v="openai/gym"/>
        <s v="chakra-ui/chakra-ui"/>
        <s v="spf13/cobra"/>
        <s v="vim/vim"/>
        <s v="QSCTech/zju-icicles"/>
        <s v="mathiasbynens/dotfiles"/>
        <s v="starship/starship"/>
        <s v="markedjs/marked"/>
        <s v="alibaba/p3c"/>
        <s v="rust-unofficial/awesome-rust"/>
        <s v="rapid7/metasploit-framework"/>
        <s v="dbeaver/dbeaver"/>
        <s v="shengxinjing/programmer-job-blacklist"/>
        <s v="rustdesk/rustdesk"/>
        <s v="ityouknow/spring-boot-examples"/>
        <s v="tastejs/todomvc"/>
        <s v="jashkenas/backbone"/>
        <s v="mqyqingfeng/Blog"/>
        <s v="codepath/android_guides"/>
        <s v="acmesh-official/acme.sh"/>
        <s v="hasura/graphql-engine"/>
        <s v="atlassian/react-beautiful-dnd"/>
        <s v="square/leakcanary"/>
        <s v="aosabook/500lines"/>
        <s v="vuejs/vuex"/>
        <s v="laravel/framework"/>
        <s v="caolan/async"/>
        <s v="kenwheeler/slick"/>
        <s v="ReactiveX/rxjs"/>
        <s v="amix/vimrc"/>
        <s v="denysdovhan/wtfjs"/>
        <s v="typicode/husky"/>
        <s v="standard/standard"/>
        <s v="symfony/symfony"/>
        <s v="naptha/tesseract.js"/>
        <s v="google/googletest"/>
        <s v="airbnb/lottie-web"/>
        <s v="Homebrew/legacy-homebrew"/>
        <s v="aria2/aria2"/>
        <s v="elsewhencode/project-guidelines"/>
        <s v="apolloconfig/apollo"/>
        <s v="ziadoz/awesome-php"/>
        <s v="apache/airflow"/>
        <s v="lib-pku/libpku"/>
        <s v="nektos/act"/>
        <s v="docker/compose"/>
        <s v="Asabeneh/30-Days-Of-JavaScript"/>
        <s v="composer/composer"/>
        <s v="0xAX/linux-insides"/>
        <s v="raywenderlich/swift-algorithm-club"/>
        <s v="crossoverJie/JCSprout"/>
        <s v="webtorrent/webtorrent"/>
        <s v="hankcs/HanLP"/>
        <s v="sequelize/sequelize"/>
        <s v="postcss/postcss"/>
        <s v="niklasvh/html2canvas"/>
        <s v="fzaninotto/Faker"/>
        <s v="jashkenas/underscore"/>
        <s v="bannedbook/fanqiang"/>
        <s v="carbon-language/carbon-lang"/>
        <s v="Tencent/weui"/>
        <s v="houshanren/hangzhou_house_knowledge"/>
        <s v="xkcoding/spring-boot-demo"/>
        <s v="layui/layui"/>
        <s v="halfrost/LeetCode-Go"/>
        <s v="curl/curl"/>
        <s v="jgm/pandoc"/>
        <s v="IanLunn/Hover"/>
        <s v="VincentGarreau/particles.js"/>
        <s v="AppFlowy-IO/AppFlowy"/>
        <s v="geekcomputers/Python"/>
        <s v="herrbischoff/awesome-macos-command-line"/>
        <s v="ZuzooVn/machine-learning-for-software-engineers"/>
        <s v="Advanced-Frontend/Daily-Interview-Question"/>
        <s v="donnemartin/interactive-coding-challenges"/>
        <s v="trailofbits/algo"/>
        <s v="odoo/odoo"/>
        <s v="tmux/tmux"/>
        <s v="alibaba/druid"/>
        <s v="goabstract/Awesome-Design-Tools"/>
        <s v="nvie/gitflow"/>
        <s v="danielgindi/Charts"/>
        <s v="fengdu78/Coursera-ML-AndrewNg-Notes"/>
        <s v="transloadit/uppy"/>
        <s v="ruanyf/weekly"/>
        <s v="JakeWharton/butterknife"/>
        <s v="mingrammer/diagrams"/>
        <s v="rethinkdb/rethinkdb"/>
        <s v="mobxjs/mobx"/>
        <s v="angular/angular-cli"/>
        <s v="harness/drone"/>
        <s v="request/request"/>
        <s v="ccxt/ccxt"/>
        <s v="huihut/interview"/>
        <s v="microsoft/calculator"/>
        <s v="cockroachdb/cockroach"/>
        <s v="github/fetch"/>
        <s v="SortableJS/Sortable"/>
        <s v="pcottle/learnGitBranching"/>
        <s v="select2/select2"/>
        <s v="cheeriojs/cheerio"/>
        <s v="geekcompany/ResumeSample"/>
        <s v="hashicorp/vault"/>
        <s v="Binaryify/NeteaseCloudMusicApi"/>
        <s v="facebookresearch/Detectron"/>
        <s v="codemirror/codemirror5"/>
        <s v="Modernizr/Modernizr"/>
        <s v="hashicorp/consul"/>
        <s v="realpython/python-guide"/>
        <s v="qiurunze123/miaosha"/>
        <s v="ianstormtaylor/slate"/>
        <s v="proxyee-down-org/proxyee-down"/>
        <s v="GoogleChrome/lighthouse"/>
        <s v="PKUanonym/REKCARC-TSC-UHT"/>
        <s v="ClickHouse/ClickHouse"/>
        <s v="prisma/prisma"/>
        <s v="firstcontributions/first-contributions"/>
        <s v="JedWatson/react-select"/>
        <s v="parallax/jsPDF"/>
        <s v="GitbookIO/gitbook"/>
        <s v="byoungd/English-level-up-tips"/>
        <s v="alibaba/fastjson"/>
        <s v="YMFE/yapi"/>
        <s v="alibaba/easyexcel"/>
        <s v="OAI/OpenAPI-Specification"/>
        <s v="ajaxorg/ace"/>
        <s v="jobbole/awesome-python-cn"/>
        <s v="CMU-Perceptual-Computing-Lab/openpose"/>
        <s v="ageron/handson-ml"/>
        <s v="CamDavidsonPilon/Probabilistic-Programming-and-Bayesian-Methods-for-Hackers"/>
        <s v="lenve/vhr"/>
        <s v="google-research/google-research"/>
        <s v="fastify/fastify"/>
        <s v="Automattic/mongoose"/>
        <s v="nylas/nylas-mail"/>
        <s v="kubernetes/minikube"/>
        <s v="rstacruz/nprogress"/>
        <s v="alebcay/awesome-shell"/>
        <s v="nagadomi/waifu2x"/>
        <s v="yunjey/pytorch-tutorial"/>
        <s v="sqlmapproject/sqlmap"/>
        <s v="SeleniumHQ/selenium"/>
        <s v="remy/nodemon"/>
        <s v="SDWebImage/SDWebImage"/>
        <s v="appwrite/appwrite"/>
        <s v="sharkdp/fd"/>
        <s v="hashicorp/vagrant"/>
        <s v="ycm-core/YouCompleteMe"/>
        <s v="n8n-io/n8n"/>
        <s v="PaddlePaddle/PaddleOCR"/>
        <s v="dwmkerr/hacker-laws"/>
        <s v="bvaughn/react-virtualized"/>
        <s v="wuyouzhuguli/SpringAll"/>
        <s v="greenrobot/EventBus"/>
        <s v="johnpapa/angular-styleguide"/>
        <s v="explosion/spaCy"/>
        <s v="ggreer/the_silver_searcher"/>
        <s v="Light-City/CPlusPlusThings"/>
        <s v="influxdata/influxdb"/>
        <s v="encode/django-rest-framework"/>
        <s v="iview/iview"/>
        <s v="cmderdev/cmder"/>
        <s v="alibaba/canal"/>
        <s v="terryum/awesome-deep-learning-papers"/>
        <s v="files-community/Files"/>
        <s v="pmndrs/react-spring"/>
        <s v="facebookresearch/fastText"/>
        <s v="akveo/ngx-admin"/>
        <s v="viraptor/reverse-interview"/>
        <s v="babysor/MockingBird"/>
        <s v="powerline/fonts"/>
        <s v="scwang90/SmartRefreshLayout"/>
        <s v="ibraheemdev/modern-unix"/>
        <s v="mattermost/mattermost-server"/>
        <s v="dromara/hutool"/>
        <s v="alibaba/nacos"/>
        <s v="vercel/swr"/>
        <s v="go-kit/kit"/>
        <s v="hollischuang/toBeTopJavaer"/>
        <s v="balena-io/etcher"/>
        <s v="sickcodes/Docker-OSX"/>
        <s v="swc-project/swc"/>
        <s v="jesseduffield/lazydocker"/>
        <s v="labstack/echo"/>
        <s v="cfenollosa/os-tutorial"/>
        <s v="donnemartin/data-science-ipython-notebooks"/>
        <s v="immerjs/immer"/>
        <s v="dokku/dokku"/>
        <s v="alibaba/spring-cloud-alibaba"/>
        <s v="facebook/rocksdb"/>
        <s v="jamiebuilds/the-super-tiny-compiler"/>
        <s v="tj/commander.js"/>
        <s v="mbeaudru/modern-js-cheatsheet"/>
        <s v="halo-dev/halo"/>
        <s v="httpie/httpie"/>
        <s v="sudheerj/reactjs-interview-questions"/>
        <s v="yewstack/yew"/>
        <s v="type-challenges/type-challenges"/>
        <s v="sindresorhus/awesome-electron"/>
        <s v="zsh-users/zsh-autosuggestions"/>
        <s v="pypa/pipenv"/>
        <s v="VundleVim/Vundle.vim"/>
        <s v="hammerjs/hammer.js"/>
        <s v="pjreddie/darknet"/>
        <s v="alibaba/flutter-go"/>
        <s v="CodeHubApp/CodeHub"/>
        <s v="dmlc/xgboost"/>
        <s v="lovell/sharp"/>
        <s v="freefq/free"/>
        <s v="CymChad/BaseRecyclerViewAdapterHelper"/>
        <s v="airbnb/lottie-ios"/>
        <s v="gitlabhq/gitlabhq"/>
        <s v="facebook/folly"/>
        <s v="lukasz-madon/awesome-remote-job"/>
        <s v="apache/kafka"/>
        <s v="angular/components"/>
        <s v="google/python-fire"/>
        <s v="Netflix/Hystrix"/>
        <s v="stedolan/jq"/>
        <s v="doczjs/docz"/>
        <s v="StreisandEffect/streisand"/>
        <s v="coreybutler/nvm-windows"/>
        <s v="vuejs/devtools"/>
        <s v="kataras/iris"/>
        <s v="tqdm/tqdm"/>
        <s v="react-native-elements/react-native-elements"/>
        <s v="signalapp/Signal-Android"/>
        <s v="Kong/insomnia"/>
        <s v="portainer/portainer"/>
        <s v="seata/seata"/>
        <s v="coolsnowwolf/lede"/>
        <s v="fastai/fastai"/>
        <s v="beurtschipper/Depix"/>
        <s v="nsqio/nsq"/>
        <s v="heartcombo/devise"/>
        <s v="AllThingsSmitty/css-protips"/>
        <s v="floating-ui/floating-ui"/>
        <s v="veggiemonk/awesome-docker"/>
        <s v="emscripten-core/emscripten"/>
        <s v="ehang-io/nps"/>
        <s v="mdbootstrap/mdb-ui-kit"/>
        <s v="swagger-api/swagger-ui"/>
        <s v="sampotts/plyr"/>
        <s v="pure-css/pure"/>
        <s v="ReactiveX/RxSwift"/>
        <s v="digitalocean/nginxconfig.io"/>
        <s v="fabricjs/fabric.js"/>
        <s v="helm/helm"/>
        <s v="syl20bnr/spacemacs"/>
        <s v="ageron/handson-ml2"/>
        <s v="littlecodersh/ItChat"/>
        <s v="matteocrippa/awesome-swift"/>
        <s v="mongodb/mongo"/>
        <s v="xuxueli/xxl-job"/>
        <s v="reduxjs/react-redux"/>
        <s v="kahun/awesome-sysadmin"/>
        <s v="qishibo/AnotherRedisDesktopManager"/>
        <s v="ramda/ramda"/>
        <s v="balderdashy/sails"/>
        <s v="redux-saga/redux-saga"/>
        <s v="emberjs/ember.js"/>
        <s v="slidevjs/slidev"/>
        <s v="android/architecture-components-samples"/>
        <s v="ovity/octotree"/>
        <s v="fouber/blog"/>
        <s v="dimsemenov/PhotoSwipe"/>
        <s v="Wox-launcher/Wox"/>
        <s v="matterport/Mask_RCNN"/>
        <s v="t4t5/sweetalert"/>
        <s v="rollup/rollup"/>
        <s v="feathericons/feather"/>
        <s v="mbadolato/iTerm2-Color-Schemes"/>
        <s v="harvesthq/chosen"/>
        <s v="guzzle/guzzle"/>
        <s v="inconshreveable/ngrok"/>
        <s v="vapor/vapor"/>
        <s v="MostlyAdequate/mostly-adequate-guide"/>
        <s v="facebookresearch/detectron2"/>
        <s v="openfaas/faas"/>
        <s v="github/hub"/>
        <s v="ryanhanwu/How-To-Ask-Questions-The-Smart-Way"/>
        <s v="facebook/draft-js"/>
        <s v="gofiber/fiber"/>
        <s v="haizlin/fe-interview"/>
        <s v="coder2gwy/coder2gwy"/>
        <s v="Tencent/wepy"/>
        <s v="photoprism/photoprism"/>
        <s v="kilimchoi/engineering-blogs"/>
        <s v="quasarframework/quasar"/>
        <s v="Polymer/polymer"/>
        <s v="TheAlgorithms/JavaScript"/>
        <s v="facebook/flow"/>
        <s v="vercel/pkg"/>
        <s v="markerikson/react-redux-links"/>
        <s v="ray-project/ray"/>
        <s v="datasciencemasters/go"/>
        <s v="google/iosched"/>
        <s v="getredash/redash"/>
        <s v="mochajs/mocha"/>
        <s v="solidjs/solid"/>
        <s v="zhongyang219/TrafficMonitor"/>
        <s v="react-navigation/react-navigation"/>
        <s v="NativeScript/NativeScript"/>
        <s v="SwiftyJSON/SwiftyJSON"/>
        <s v="dnSpy/dnSpy"/>
        <s v="servo/servo"/>
        <s v="komeiji-satori/Dress"/>
        <s v="alpinejs/alpine"/>
        <s v="keon/algorithms"/>
        <s v="docsifyjs/docsify"/>
        <s v="usablica/intro.js"/>
        <s v="kriasoft/react-starter-kit"/>
        <s v="ApolloAuto/apollo"/>
        <s v="bilibili/flv.js"/>
        <s v="OWASP/CheatSheetSeries"/>
        <s v="yuzu-emu/yuzu"/>
        <s v="github/copilot-docs"/>
        <s v="qianguyihao/Web"/>
        <s v="dotnet-architecture/eShopOnContainers"/>
        <s v="Pierian-Data/Complete-Python-3-Bootcamp"/>
        <s v="eriklindernoren/ML-From-Scratch"/>
        <s v="StevenBlack/hosts"/>
        <s v="TencentARC/GFPGAN"/>
        <s v="ShareX/ShareX"/>
        <s v="google/gson"/>
        <s v="bevacqua/dragula"/>
        <s v="numpy/numpy"/>
        <s v="nicolargo/glances"/>
        <s v="AMAI-GmbH/AI-Expert-Roadmap"/>
        <s v="eugeneyan/applied-ml"/>
        <s v="wangzheng0822/algo"/>
        <s v="conwnet/github1s"/>
        <s v="sirupsen/logrus"/>
        <s v="michalsnik/aos"/>
        <s v="eslint/eslint"/>
        <s v="ipfs/ipfs"/>
        <s v="chenglou/react-motion"/>
        <s v="statelyai/xstate"/>
        <s v="wsargent/docker-cheat-sheet"/>
        <s v="python-poetry/poetry"/>
        <s v="react-bootstrap/react-bootstrap"/>
        <s v="yeasy/docker_practice"/>
        <s v="open-mmlab/mmdetection"/>
        <s v="jlmakes/scrollreveal"/>
        <s v="DIYgod/RSSHub"/>
        <s v="HeroTransitions/Hero"/>
        <s v="paularmstrong/normalizr"/>
        <s v="pmndrs/zustand"/>
        <s v="viatsko/awesome-vscode"/>
        <s v="pugjs/pug"/>
        <s v="localForage/localForage"/>
        <s v="neoclide/coc.nvim"/>
        <s v="microsoft/cascadia-code"/>
        <s v="googlehosts/hosts"/>
        <s v="SerenityOS/serenity"/>
        <s v="k3s-io/k3s"/>
        <s v="sebastianruder/NLP-progress"/>
        <s v="rwaldron/idiomatic.js"/>
        <s v="ascoders/weekly"/>
        <s v="vuejs/vuepress"/>
        <s v="DesignPatternsPHP/DesignPatternsPHP"/>
        <s v="tornadoweb/tornado"/>
        <s v="bradtraversy/50projects50days"/>
        <s v="wesbos/JavaScript30"/>
        <s v="uglide/RedisDesktopManager"/>
        <s v="discordjs/discord.js"/>
        <s v="elixir-lang/elixir"/>
        <s v="TheAlgorithms/C-Plus-Plus"/>
        <s v="TeamNewPipe/NewPipe"/>
        <s v="DrKLO/Telegram"/>
        <s v="ColorlibHQ/gentelella"/>
        <s v="zhiwehu/Python-programming-exercises"/>
        <s v="appsmithorg/appsmith"/>
        <s v="WerWolv/ImHex"/>
        <s v="goldfire/howler.js"/>
        <s v="SwiftGGTeam/the-swift-programming-language-in-chinese"/>
        <s v="homebridge/homebridge"/>
        <s v="schollz/croc"/>
        <s v="jaredhanson/passport"/>
        <s v="julycoding/The-Art-Of-Programming-By-July"/>
        <s v="GorvGoyl/Clone-Wars"/>
        <s v="postcss/autoprefixer"/>
        <s v="rwightman/pytorch-image-models"/>
        <s v="onevcat/Kingfisher"/>
        <s v="louislam/uptime-kuma"/>
        <s v="streamlit/streamlit"/>
        <s v="git-tips/tips"/>
        <s v="Meituan-Dianping/mpvue"/>
        <s v="nushell/nushell"/>
        <s v="libgdx/libgdx"/>
        <s v="marmelab/react-admin"/>
        <s v="spf13/viper"/>
        <s v="highlightjs/highlight.js"/>
        <s v="deezer/spleeter"/>
        <s v="FallibleInc/security-guide-for-developers"/>
        <s v="Z4nzu/hackingtool"/>
        <s v="datawhalechina/pumpkin-book"/>
        <s v="envoyproxy/envoy"/>
        <s v="bitcoinbook/bitcoinbook"/>
        <s v="camsong/You-Dont-Need-jQuery"/>
        <s v="ruanyf/es6tutorial"/>
        <s v="lyswhut/lx-music-desktop"/>
        <s v="notable/notable"/>
        <s v="necolas/react-native-web"/>
        <s v="zeromicro/go-zero"/>
        <s v="JohnCoates/Aerial"/>
        <s v="petkaantonov/bluebird"/>
        <s v="futurice/android-best-practices"/>
        <s v="taichi-dev/taichi"/>
        <s v="WeNeedHome/SummaryOfLoanSuspension"/>
        <s v="vant-ui/vant"/>
        <s v="mozilla/DeepSpeech"/>
        <s v="apache/skywalking"/>
        <s v="validatorjs/validator.js"/>
        <s v="apache/incubator-mxnet"/>
        <s v="tsenart/vegeta"/>
        <s v="v8/v8"/>
        <s v="electron-react-boilerplate/electron-react-boilerplate"/>
        <s v="gfwlist/gfwlist"/>
        <s v="zyedidia/micro"/>
        <s v="judasn/IntelliJ-IDEA-Tutorial"/>
        <s v="ReactiveCocoa/ReactiveCocoa"/>
        <s v="BradLarson/GPUImage"/>
        <s v="google/jax"/>
        <s v="codex-team/editor.js"/>
        <s v="celery/celery"/>
        <s v="SamyPesse/How-to-Make-a-Computer-Operating-System"/>
        <s v="avajs/ava"/>
        <s v="enzymejs/enzyme"/>
        <s v="libuv/libuv"/>
        <s v="microsoft/api-guidelines"/>
        <s v="Awesome-Windows/Awesome"/>
        <s v="leereilly/games"/>
        <s v="tmrts/go-patterns"/>
        <s v="charlax/professional-programming"/>
        <s v="pbatard/rufus"/>
        <s v="Seldaek/monolog"/>
        <s v="jhipster/generator-jhipster"/>
        <s v="js-cookie/js-cookie"/>
        <s v="withfig/autocomplete"/>
        <s v="Lightning-AI/lightning"/>
        <s v="nextcloud/server"/>
        <s v="mpv-player/mpv"/>
        <s v="facebookarchive/pop"/>
        <s v="FredKSchott/snowpack"/>
        <s v="rancher/rancher"/>
        <s v="lutzroeder/netron"/>
        <s v="mxgmn/WaveFunctionCollapse"/>
        <s v="google/ExoPlayer"/>
        <s v="zhaoolee/ChromeAppHeroes"/>
        <s v="alibaba/Sentinel"/>
        <s v="parse-community/parse-server"/>
        <s v="The-Run-Philosophy-Organization/run"/>
        <s v="MustangYM/WeChatExtension-ForMac"/>
        <s v="ReactiveX/RxAndroid"/>
        <s v="nothings/stb"/>
        <s v="redisson/redisson"/>
        <s v="felixrieseberg/windows95"/>
        <s v="Reactive-Extensions/RxJS"/>
        <s v="apache/flink"/>
        <s v="tipsy/profile-summary-for-github"/>
        <s v="jaywcjlove/linux-command"/>
        <s v="hwdsl2/setup-ipsec-vpn"/>
        <s v="locustio/locust"/>
        <s v="trekhleb/homemade-machine-learning"/>
        <s v="benweet/stackedit"/>
        <s v="telegramdesktop/tdesktop"/>
        <s v="OpenZeppelin/openzeppelin-contracts"/>
        <s v="xi-editor/xi-editor"/>
        <s v="python-telegram-bot/python-telegram-bot"/>
        <s v="forem/forem"/>
        <s v="remoteintech/remote-jobs"/>
        <s v="sdras/awesome-actions"/>
        <s v="drduh/macOS-Security-and-Privacy-Guide"/>
        <s v="robertdavidgraham/masscan"/>
        <s v="fish-shell/fish-shell"/>
        <s v="ruby/ruby"/>
        <s v="railsware/upterm"/>
        <s v="Homebrew/homebrew-cask"/>
        <s v="eligrey/FileSaver.js"/>
        <s v="jenkinsci/jenkins"/>
        <s v="afollestad/material-dialogs"/>
        <s v="winstonjs/winston"/>
        <s v="yichengchen/clashX"/>
        <s v="dracula/dracula-theme"/>
        <s v="lensapp/lens"/>
        <s v="chubin/wttr.in"/>
        <s v="Igglybuff/awesome-piracy"/>
        <s v="ChristosChristofidis/awesome-deep-learning"/>
        <s v="segmentio/nightmare"/>
        <s v="bazelbuild/bazel"/>
        <s v="geekan/HowToLiveLonger"/>
        <s v="academic/awesome-datascience"/>
        <s v="pmndrs/react-three-fiber"/>
        <s v="verekia/js-stack-from-scratch"/>
        <s v="palantir/blueprint"/>
        <s v="osquery/osquery"/>
        <s v="openssl/openssl"/>
        <s v="norvig/pytudes"/>
        <s v="MLEveryday/100-Days-Of-ML-Code"/>
        <s v="rome/tools"/>
        <s v="PostgREST/postgrest"/>
        <s v="vnpy/vnpy"/>
        <s v="davideuler/architecture.of.internet-product"/>
        <s v="pnpm/pnpm"/>
        <s v="taosdata/TDengine"/>
        <s v="go-delve/delve"/>
        <s v="hapijs/joi"/>
        <s v="jumpserver/jumpserver"/>
        <s v="TanStack/table"/>
        <s v="chalk/chalk"/>
        <s v="vadimdemedes/ink"/>
        <s v="Popmotion/popmotion"/>
        <s v="freqtrade/freqtrade"/>
        <s v="graphql/graphql-js"/>
        <s v="TeamStuQ/skill-map"/>
        <s v="ogham/exa"/>
        <s v="facebookresearch/fairseq"/>
        <s v="ossrs/srs"/>
        <s v="didi/DoKit"/>
        <s v="qier222/YesPlayMusic"/>
        <s v="firecracker-microvm/firecracker"/>
        <s v="asim/go-micro"/>
        <s v="tobiasahlin/SpinKit"/>
        <s v="remix-run/remix"/>
        <s v="urfave/cli"/>
        <s v="dapr/dapr"/>
        <s v="nikitavoloboev/my-mac-os"/>
        <s v="n0shake/Public-APIs"/>
        <s v="vuejs/vue-router"/>
        <s v="nostalgic-css/NES.css"/>
        <s v="pytorch/examples"/>
        <s v="SpaceVim/SpaceVim"/>
        <s v="iawia002/lux"/>
        <s v="jorgebucaran/hyperapp"/>
        <s v="goldbergyoni/javascript-testing-best-practices"/>
        <s v="ftlabs/fastclick"/>
        <s v="PaddlePaddle/Paddle"/>
        <s v="SnapKit/SnapKit"/>
        <s v="recharts/recharts"/>
        <s v="reduxjs/reselect"/>
        <s v="shimohq/chinese-programmer-wrong-pronunciation"/>
        <s v="google/eng-practices"/>
        <s v="dhg/Skeleton"/>
        <s v="go-kratos/kratos"/>
        <s v="kdeldycke/awesome-falsehood"/>
        <s v="refined-github/refined-github"/>
        <s v="websockets/ws"/>
        <s v="ruanyf/jstraining"/>
        <s v="elunez/eladmin"/>
        <s v="sebastianbergmann/phpunit"/>
        <s v="google/flatbuffers"/>
        <s v="PHPMailer/PHPMailer"/>
        <s v="Awesome-HarmonyOS/HarmonyOS"/>
        <s v="javascript-tutorial/en.javascript.info"/>
        <s v="flameshot-org/flameshot"/>
        <s v="Prinzhorn/skrollr"/>
        <s v="philc/vimium"/>
        <s v="jitsi/jitsi-meet"/>
        <s v="google/web-starter-kit"/>
        <s v="changkun/modern-cpp-tutorial"/>
        <s v="checkcheckzz/system-design-interview"/>
        <s v="google/mediapipe"/>
        <s v="ai/nanoid"/>
        <s v="wenyan-lang/wenyan"/>
        <s v="phoenixframework/phoenix"/>
        <s v="FelisCatus/SwitchyOmega"/>
        <s v="tachiyomiorg/tachiyomi"/>
        <s v="requarks/wiki"/>
        <s v="aseprite/aseprite"/>
        <s v="adobe-fonts/source-code-pro"/>
        <s v="dgraph-io/dgraph"/>
        <s v="square/picasso"/>
      </sharedItems>
    </cacheField>
    <cacheField name="createdAt" numFmtId="0">
      <sharedItems>
        <s v="2014-12-24T17:49:19Z"/>
        <s v="2019-03-26T07:31:14Z"/>
        <s v="2013-10-11T06:50:37Z"/>
        <s v="2016-06-06T02:34:12Z"/>
        <s v="2014-07-11T13:42:37Z"/>
        <s v="2017-03-15T13:45:52Z"/>
        <s v="2016-03-20T23:49:42Z"/>
        <s v="2013-07-29T03:24:51Z"/>
        <s v="2017-02-26T16:15:28Z"/>
        <s v="2013-05-24T16:15:54Z"/>
        <s v="2015-11-07T01:19:20Z"/>
        <s v="2018-05-09T12:03:18Z"/>
        <s v="2011-07-29T21:19:00Z"/>
        <s v="2013-11-16T02:37:24Z"/>
        <s v="2018-02-13T14:56:24Z"/>
        <s v="2009-08-28T18:15:37Z"/>
        <s v="2018-03-24T07:47:04Z"/>
        <s v="2015-03-06T22:54:58Z"/>
        <s v="2016-07-16T09:44:01Z"/>
        <s v="2014-06-27T21:00:06Z"/>
        <s v="2010-11-08T20:17:14Z"/>
        <s v="2011-09-04T22:48:12Z"/>
        <s v="2015-09-03T20:23:38Z"/>
        <s v="2018-05-07T13:27:00Z"/>
        <s v="2012-11-01T23:13:50Z"/>
        <s v="2018-03-01T16:05:52Z"/>
        <s v="2014-05-04T00:18:39Z"/>
        <s v="2010-10-31T14:35:07Z"/>
        <s v="2020-02-19T09:01:23Z"/>
        <s v="2015-05-20T15:11:03Z"/>
        <s v="2015-01-09T18:10:16Z"/>
        <s v="2013-04-12T01:47:36Z"/>
        <s v="2014-08-19T04:33:40Z"/>
        <s v="2010-09-27T17:22:42Z"/>
        <s v="2017-11-29T17:35:03Z"/>
        <s v="2015-06-01T02:33:17Z"/>
        <s v="2016-07-17T14:55:11Z"/>
        <s v="2014-08-18T22:30:27Z"/>
        <s v="2013-11-04T01:59:19Z"/>
        <s v="2016-10-05T23:32:51Z"/>
        <s v="2014-06-06T22:56:04Z"/>
        <s v="2014-11-26T19:57:11Z"/>
        <s v="2014-07-06T13:42:15Z"/>
        <s v="2017-08-11T18:38:22Z"/>
        <s v="2018-05-15T01:34:26Z"/>
        <s v="2010-03-23T18:58:01Z"/>
        <s v="2014-06-17T15:28:39Z"/>
        <s v="2014-09-18T16:12:01Z"/>
        <s v="2015-04-24T15:37:24Z"/>
        <s v="2017-09-15T08:33:19Z"/>
        <s v="2014-08-18T19:11:54Z"/>
        <s v="2017-05-09T22:16:13Z"/>
        <s v="2017-04-17T03:35:49Z"/>
        <s v="2016-07-05T05:00:48Z"/>
        <s v="2019-05-01T17:44:02Z"/>
        <s v="2014-08-09T16:45:18Z"/>
        <s v="2018-06-23T10:43:14Z"/>
        <s v="2017-04-12T05:07:46Z"/>
        <s v="2011-10-12T10:07:38Z"/>
        <s v="2016-02-05T01:15:20Z"/>
        <s v="2016-03-18T04:23:44Z"/>
        <s v="2015-04-08T15:08:04Z"/>
        <s v="2016-11-25T22:25:41Z"/>
        <s v="2018-12-06T08:01:22Z"/>
        <s v="2010-06-16T20:39:03Z"/>
        <s v="2011-06-08T03:06:08Z"/>
        <s v="2012-02-17T14:19:43Z"/>
        <s v="2017-11-21T18:00:27Z"/>
        <s v="2018-10-29T13:56:00Z"/>
        <s v="2016-02-26T20:49:53Z"/>
        <s v="2015-10-20T00:16:14Z"/>
        <s v="2012-04-28T02:47:18Z"/>
        <s v="2010-12-19T15:16:43Z"/>
        <s v="2014-11-11T19:32:38Z"/>
        <s v="2018-10-06T11:38:30Z"/>
        <s v="2013-01-18T18:10:57Z"/>
        <s v="2013-12-15T14:31:41Z"/>
        <s v="2012-07-19T09:40:17Z"/>
        <s v="2013-11-27T13:21:13Z"/>
        <s v="2012-10-19T15:02:57Z"/>
        <s v="2014-06-16T23:57:25Z"/>
        <s v="2016-11-20T18:13:05Z"/>
        <s v="2012-03-10T10:08:14Z"/>
        <s v="2011-06-07T18:54:22Z"/>
        <s v="2017-10-16T10:12:36Z"/>
        <s v="2017-08-24T13:18:26Z"/>
        <s v="2013-07-04T15:26:26Z"/>
        <s v="2010-02-08T13:20:56Z"/>
        <s v="2018-04-04T01:11:44Z"/>
        <s v="2010-04-15T17:47:47Z"/>
        <s v="2015-10-23T21:15:07Z"/>
        <s v="2013-06-17T18:39:10Z"/>
        <s v="2010-04-06T11:11:59Z"/>
        <s v="2017-10-06T14:59:14Z"/>
        <s v="2010-01-06T00:34:37Z"/>
        <s v="2015-12-21T15:24:59Z"/>
        <s v="2015-05-29T23:53:15Z"/>
        <s v="2016-05-04T06:24:11Z"/>
        <s v="2012-01-20T18:18:21Z"/>
        <s v="2011-02-06T13:39:55Z"/>
        <s v="2016-08-13T05:26:41Z"/>
        <s v="2009-06-26T18:56:01Z"/>
        <s v="2017-02-14T18:19:25Z"/>
        <s v="2013-03-17T23:56:36Z"/>
        <s v="2015-03-18T21:06:26Z"/>
        <s v="2014-01-31T13:39:22Z"/>
        <s v="2019-02-25T18:36:56Z"/>
        <s v="2018-04-06T13:30:58Z"/>
        <s v="2009-04-03T15:20:14Z"/>
        <s v="2010-03-11T18:24:48Z"/>
        <s v="2020-11-10T02:44:00Z"/>
        <s v="2009-03-21T22:32:25Z"/>
        <s v="2012-05-13T03:27:22Z"/>
        <s v="2019-02-27T16:50:41Z"/>
        <s v="2015-03-28T00:35:42Z"/>
        <s v="2014-08-26T15:52:15Z"/>
        <s v="2014-07-15T19:11:19Z"/>
        <s v="2016-03-30T15:47:10Z"/>
        <s v="2012-02-09T23:34:10Z"/>
        <s v="2013-01-14T07:54:16Z"/>
        <s v="2018-11-14T22:00:57Z"/>
        <s v="2013-09-17T07:29:48Z"/>
        <s v="2012-03-06T14:58:02Z"/>
        <s v="2012-04-07T04:11:46Z"/>
        <s v="2018-02-06T23:54:00Z"/>
        <s v="2015-05-21T22:43:05Z"/>
        <s v="2014-04-03T15:45:02Z"/>
        <s v="2010-01-24T18:03:24Z"/>
        <s v="2016-09-03T06:19:26Z"/>
        <s v="2014-01-04T16:05:36Z"/>
        <s v="2016-07-17T15:33:47Z"/>
        <s v="2013-04-03T03:18:59Z"/>
        <s v="2018-09-04T13:27:04Z"/>
        <s v="2008-04-11T02:19:47Z"/>
        <s v="2010-08-17T09:43:38Z"/>
        <s v="2014-11-20T06:20:50Z"/>
        <s v="2013-12-11T15:59:56Z"/>
        <s v="2014-08-06T05:31:44Z"/>
        <s v="2013-04-08T23:32:04Z"/>
        <s v="2017-02-04T20:12:52Z"/>
        <s v="2014-11-01T23:52:32Z"/>
        <s v="2018-03-30T09:13:51Z"/>
        <s v="2015-11-28T09:48:17Z"/>
        <s v="2019-07-13T09:09:37Z"/>
        <s v="2010-12-08T04:04:45Z"/>
        <s v="2018-06-27T06:36:45Z"/>
        <s v="2018-12-08T08:21:47Z"/>
        <s v="2011-05-04T10:20:25Z"/>
        <s v="2011-02-13T18:38:17Z"/>
        <s v="2014-05-16T22:22:51Z"/>
        <s v="2013-08-20T23:06:02Z"/>
        <s v="2015-07-21T18:55:34Z"/>
        <s v="2019-09-05T03:01:56Z"/>
        <s v="2017-03-05T20:25:17Z"/>
        <s v="2016-07-16T10:21:02Z"/>
        <s v="2015-09-30T15:34:48Z"/>
        <s v="2017-02-10T19:23:51Z"/>
        <s v="2019-06-12T08:26:27Z"/>
        <s v="2011-03-01T02:46:06Z"/>
        <s v="2020-04-21T05:03:57Z"/>
        <s v="2020-02-29T10:43:49Z"/>
        <s v="2013-10-23T16:04:23Z"/>
        <s v="2015-03-22T18:50:58Z"/>
        <s v="2014-08-12T18:04:59Z"/>
        <s v="2014-10-08T18:01:28Z"/>
        <s v="2013-01-08T20:11:48Z"/>
        <s v="2014-07-11T13:35:34Z"/>
        <s v="2013-11-26T09:48:21Z"/>
        <s v="2016-01-23T23:48:34Z"/>
        <s v="2019-08-21T13:15:24Z"/>
        <s v="2017-03-03T21:52:39Z"/>
        <s v="2014-05-29T16:23:17Z"/>
        <s v="2012-08-20T15:53:36Z"/>
        <s v="2008-10-20T06:29:03Z"/>
        <s v="2020-07-09T10:34:22Z"/>
        <s v="2015-11-21T19:05:09Z"/>
        <s v="2010-02-22T02:01:14Z"/>
        <s v="2012-11-24T11:14:12Z"/>
        <s v="2016-11-29T17:13:37Z"/>
        <s v="2014-12-24T01:45:03Z"/>
        <s v="2020-05-06T14:40:35Z"/>
        <s v="2015-04-21T03:48:40Z"/>
        <s v="2008-07-23T14:21:26Z"/>
        <s v="2016-10-25T23:48:03Z"/>
        <s v="2015-10-24T19:53:36Z"/>
        <s v="2016-03-13T21:37:45Z"/>
        <s v="2012-01-19T01:58:17Z"/>
        <s v="2015-08-08T20:57:20Z"/>
        <s v="2012-07-23T13:42:55Z"/>
        <s v="2018-08-21T11:20:39Z"/>
        <s v="2012-02-13T17:29:58Z"/>
        <s v="2017-07-22T12:21:03Z"/>
        <s v="2015-01-13T19:45:03Z"/>
        <s v="2017-05-07T11:45:27Z"/>
        <s v="2014-11-15T18:36:49Z"/>
        <s v="2015-11-11T14:21:19Z"/>
        <s v="2017-12-19T09:44:13Z"/>
        <s v="2016-10-21T17:02:11Z"/>
        <s v="2019-11-15T18:32:42Z"/>
        <s v="2013-12-25T02:52:40Z"/>
        <s v="2016-02-05T13:42:07Z"/>
        <s v="2016-02-18T05:02:30Z"/>
        <s v="2012-02-19T01:30:18Z"/>
        <s v="2014-09-28T13:38:23Z"/>
        <s v="2017-08-07T16:36:47Z"/>
        <s v="2016-10-26T11:18:47Z"/>
        <s v="2013-07-06T21:57:21Z"/>
        <s v="2013-05-04T11:09:13Z"/>
        <s v="2016-01-19T17:39:16Z"/>
        <s v="2012-08-02T11:49:35Z"/>
        <s v="2014-02-12T01:57:08Z"/>
        <s v="2014-07-21T14:29:47Z"/>
        <s v="2013-10-01T02:40:31Z"/>
        <s v="2012-10-05T16:39:45Z"/>
        <s v="2016-10-18T07:29:07Z"/>
        <s v="2010-09-06T21:39:43Z"/>
        <s v="2021-03-03T01:34:05Z"/>
        <s v="2014-07-10T16:03:45Z"/>
        <s v="2017-12-27T03:46:40Z"/>
        <s v="2015-09-04T11:42:53Z"/>
        <s v="2011-04-21T07:01:50Z"/>
        <s v="2015-03-04T00:46:28Z"/>
        <s v="2018-04-10T09:26:44Z"/>
        <s v="2013-12-08T07:34:43Z"/>
        <s v="2013-12-10T00:18:04Z"/>
        <s v="2011-04-26T06:32:03Z"/>
        <s v="2013-07-04T13:37:27Z"/>
        <s v="2014-07-17T08:51:11Z"/>
        <s v="2015-09-13T19:04:02Z"/>
        <s v="2019-11-10T15:28:09Z"/>
        <s v="2014-07-22T20:35:09Z"/>
        <s v="2012-01-04T06:21:10Z"/>
        <s v="2016-07-01T06:01:21Z"/>
        <s v="2013-12-26T13:05:46Z"/>
        <s v="2015-04-11T20:48:23Z"/>
        <s v="2016-12-23T01:49:20Z"/>
        <s v="2016-05-15T00:27:45Z"/>
        <s v="2014-09-12T19:35:38Z"/>
        <s v="2016-09-22T20:04:48Z"/>
        <s v="2020-03-10T15:19:19Z"/>
        <s v="2014-06-08T15:02:55Z"/>
        <s v="2018-07-05T09:11:43Z"/>
        <s v="2014-07-31T05:56:19Z"/>
        <s v="2019-10-12T05:56:49Z"/>
        <s v="2012-06-19T07:56:02Z"/>
        <s v="2014-12-05T04:31:17Z"/>
        <s v="2013-05-21T03:25:25Z"/>
        <s v="2016-12-23T09:06:10Z"/>
        <s v="2013-01-21T22:40:50Z"/>
        <s v="2016-08-16T06:41:32Z"/>
        <s v="2017-06-20T16:13:53Z"/>
        <s v="2016-09-02T03:32:25Z"/>
        <s v="2018-07-12T08:52:39Z"/>
        <s v="2011-12-28T22:23:19Z"/>
        <s v="2018-04-21T10:52:23Z"/>
        <s v="2014-04-12T16:38:42Z"/>
        <s v="2016-09-30T03:13:43Z"/>
        <s v="2018-06-25T05:33:03Z"/>
        <s v="2013-03-10T06:00:31Z"/>
        <s v="2016-03-23T08:43:36Z"/>
        <s v="2013-01-12T00:25:55Z"/>
        <s v="2019-05-26T08:56:15Z"/>
        <s v="2018-06-02T04:08:16Z"/>
        <s v="2017-01-28T09:35:02Z"/>
        <s v="2014-12-02T17:00:38Z"/>
        <s v="2016-11-24T01:33:30Z"/>
        <s v="2016-08-10T14:24:36Z"/>
        <s v="2014-04-25T14:29:47Z"/>
        <s v="2010-09-22T16:57:44Z"/>
        <s v="2016-04-24T11:57:57Z"/>
        <s v="2017-11-12T16:05:25Z"/>
        <s v="2014-12-08T18:58:53Z"/>
        <s v="2012-09-23T15:17:08Z"/>
        <s v="2015-08-19T20:22:52Z"/>
        <s v="2016-09-12T00:39:35Z"/>
        <s v="2010-08-24T01:37:33Z"/>
        <s v="2018-12-24T14:30:48Z"/>
        <s v="2018-01-13T19:40:08Z"/>
        <s v="2018-10-18T22:59:10Z"/>
        <s v="2013-06-22T13:23:55Z"/>
        <s v="2012-06-06T21:02:35Z"/>
        <s v="2016-01-13T23:41:35Z"/>
        <s v="2013-11-07T04:30:06Z"/>
        <s v="2017-02-16T21:24:39Z"/>
        <s v="2015-01-14T19:23:58Z"/>
        <s v="2009-05-27T16:29:46Z"/>
        <s v="2017-08-23T04:40:24Z"/>
        <s v="2013-09-13T22:15:24Z"/>
        <s v="2018-06-04T13:10:00Z"/>
        <s v="2014-03-16T16:19:57Z"/>
        <s v="2011-06-16T01:52:25Z"/>
        <s v="2017-09-09T16:33:26Z"/>
        <s v="2019-06-10T06:54:19Z"/>
        <s v="2013-09-20T11:58:29Z"/>
        <s v="2019-03-01T03:27:48Z"/>
        <s v="2014-03-13T22:25:48Z"/>
        <s v="2010-05-14T18:45:10Z"/>
        <s v="2017-02-25T08:53:02Z"/>
        <s v="2021-05-05T05:50:01Z"/>
        <s v="2014-02-25T08:00:08Z"/>
        <s v="2011-12-07T21:14:40Z"/>
        <s v="2013-11-13T17:24:12Z"/>
        <s v="2012-07-30T23:23:18Z"/>
        <s v="2015-12-04T09:36:55Z"/>
        <s v="2018-05-13T15:44:01Z"/>
        <s v="2011-05-31T21:28:44Z"/>
        <s v="2014-07-09T10:12:43Z"/>
        <s v="2012-04-20T13:10:49Z"/>
        <s v="2016-03-06T05:08:38Z"/>
        <s v="2018-12-18T11:45:05Z"/>
        <s v="2016-10-06T22:42:42Z"/>
        <s v="2016-10-14T11:49:48Z"/>
        <s v="2013-07-20T18:53:45Z"/>
        <s v="2016-06-14T16:08:50Z"/>
        <s v="2013-07-08T22:52:33Z"/>
        <s v="2015-05-19T07:36:09Z"/>
        <s v="2016-12-07T11:46:51Z"/>
        <s v="2013-09-12T18:39:48Z"/>
        <s v="2012-12-16T13:40:29Z"/>
        <s v="2014-11-17T23:56:08Z"/>
        <s v="2016-03-11T02:02:33Z"/>
        <s v="2012-03-20T11:12:28Z"/>
        <s v="2017-05-25T20:58:42Z"/>
        <s v="2017-08-25T10:40:44Z"/>
        <s v="2013-04-12T12:27:51Z"/>
        <s v="2015-09-11T02:40:18Z"/>
        <s v="2021-04-14T00:48:17Z"/>
        <s v="2013-07-04T05:26:06Z"/>
        <s v="2015-09-18T23:04:55Z"/>
        <s v="2016-07-07T14:15:27Z"/>
        <s v="2016-07-13T17:30:16Z"/>
        <s v="2012-03-14T19:11:45Z"/>
        <s v="2014-07-02T06:02:29Z"/>
        <s v="2018-06-12T13:49:36Z"/>
        <s v="2015-09-06T04:01:52Z"/>
        <s v="2015-01-14T22:01:33Z"/>
        <s v="2020-01-02T01:04:43Z"/>
        <s v="2018-10-25T22:57:34Z"/>
        <s v="2016-06-24T15:19:33Z"/>
        <s v="2016-11-01T02:13:26Z"/>
        <s v="2015-03-26T19:58:06Z"/>
        <s v="2010-08-30T22:06:41Z"/>
        <s v="2017-11-03T02:35:33Z"/>
        <s v="2013-04-29T18:26:36Z"/>
        <s v="2017-01-16T21:49:41Z"/>
        <s v="2019-11-12T04:26:18Z"/>
        <s v="2015-04-01T17:51:11Z"/>
        <s v="2018-06-13T01:39:33Z"/>
        <s v="2017-08-28T20:22:19Z"/>
        <s v="2018-04-08T09:32:26Z"/>
        <s v="2015-05-20T19:18:59Z"/>
        <s v="2018-10-27T10:16:05Z"/>
        <s v="2013-07-04T08:47:49Z"/>
        <s v="2019-07-30T03:47:24Z"/>
        <s v="2015-01-26T23:32:34Z"/>
        <s v="2015-07-05T05:56:42Z"/>
        <s v="2013-03-18T17:08:21Z"/>
        <s v="2015-01-15T09:35:51Z"/>
        <s v="2011-04-14T14:12:38Z"/>
        <s v="2020-05-29T05:47:09Z"/>
        <s v="2016-07-30T18:18:32Z"/>
        <s v="2017-03-15T05:09:01Z"/>
        <s v="2016-11-18T23:57:21Z"/>
        <s v="2015-11-04T03:29:13Z"/>
        <s v="2012-12-03T19:25:52Z"/>
        <s v="2019-03-27T23:53:37Z"/>
        <s v="2018-02-01T09:08:59Z"/>
        <s v="2010-12-01T15:35:32Z"/>
        <s v="2017-06-16T02:50:28Z"/>
        <s v="2017-06-14T19:50:59Z"/>
        <s v="2016-12-19T07:18:45Z"/>
        <s v="2014-01-05T15:20:15Z"/>
        <s v="2016-09-06T12:59:15Z"/>
        <s v="2019-12-14T12:05:42Z"/>
        <s v="2013-03-24T17:18:38Z"/>
        <s v="2016-06-07T16:56:31Z"/>
        <s v="2013-06-03T04:12:04Z"/>
        <s v="2020-10-26T04:22:55Z"/>
        <s v="2018-11-05T03:44:27Z"/>
        <s v="2017-05-17T12:23:40Z"/>
        <s v="2018-11-26T10:40:00Z"/>
        <s v="2019-02-24T19:09:45Z"/>
        <s v="2016-06-10T11:49:00Z"/>
        <s v="2018-06-10T14:28:14Z"/>
        <s v="2014-08-27T21:17:52Z"/>
        <s v="2018-08-29T17:15:57Z"/>
        <s v="2017-11-09T02:47:15Z"/>
        <s v="2019-02-08T02:57:06Z"/>
        <s v="2019-03-05T23:47:10Z"/>
        <s v="2020-05-18T03:45:11Z"/>
        <s v="2017-05-07T21:40:56Z"/>
        <s v="2018-01-25T04:16:53Z"/>
        <s v="2011-10-12T14:07:27Z"/>
        <s v="2016-02-22T15:01:25Z"/>
        <s v="2010-11-09T09:22:21Z"/>
        <s v="2012-11-17T03:15:11Z"/>
        <s v="2014-10-06T10:24:22Z"/>
        <s v="2019-10-03T15:24:53Z"/>
        <s v="2017-10-29T18:51:48Z"/>
        <s v="2015-02-02T19:25:47Z"/>
        <s v="2013-10-24T18:16:07Z"/>
        <s v="2019-09-10T19:23:58Z"/>
        <s v="2015-12-26T23:11:20Z"/>
        <s v="2013-10-25T08:31:38Z"/>
        <s v="2014-03-11T06:09:42Z"/>
        <s v="2016-04-20T20:05:37Z"/>
        <s v="2011-10-13T23:05:42Z"/>
        <s v="2014-07-08T05:44:19Z"/>
        <s v="2018-05-19T00:53:06Z"/>
        <s v="2014-11-12T02:52:20Z"/>
        <s v="2016-02-29T07:41:14Z"/>
        <s v="2012-09-29T07:52:01Z"/>
        <s v="2014-03-03T18:29:30Z"/>
        <s v="2020-02-04T22:03:53Z"/>
        <s v="2010-12-27T08:18:58Z"/>
        <s v="2018-03-14T19:54:45Z"/>
        <s v="2018-04-23T11:45:28Z"/>
        <s v="2013-09-10T14:58:51Z"/>
        <s v="2015-09-15T02:25:18Z"/>
        <s v="2012-02-29T02:32:08Z"/>
        <s v="2019-10-03T17:31:21Z"/>
        <s v="2015-02-18T14:36:32Z"/>
        <s v="2016-09-08T12:42:53Z"/>
        <s v="2018-04-07T20:33:19Z"/>
        <s v="2014-07-01T15:59:02Z"/>
        <s v="2010-02-16T04:10:13Z"/>
        <s v="2012-08-31T06:57:52Z"/>
        <s v="2016-04-27T14:59:16Z"/>
        <s v="2019-08-17T14:27:54Z"/>
        <s v="2013-09-03T20:40:26Z"/>
        <s v="2015-08-18T21:03:56Z"/>
        <s v="2016-06-28T16:17:32Z"/>
        <s v="2011-09-05T18:07:54Z"/>
        <s v="2019-04-02T03:23:12Z"/>
        <s v="2011-07-24T13:15:51Z"/>
        <s v="2017-06-23T06:15:51Z"/>
        <s v="2014-07-17T10:45:10Z"/>
        <s v="2011-08-30T06:13:20Z"/>
        <s v="2015-10-21T08:26:28Z"/>
        <s v="2016-06-25T06:09:10Z"/>
        <s v="2020-09-28T15:36:08Z"/>
        <s v="2016-11-05T05:32:33Z"/>
        <s v="2011-06-03T19:56:33Z"/>
        <s v="2010-09-30T19:41:28Z"/>
        <s v="2017-03-13T10:04:33Z"/>
        <s v="2013-06-19T10:24:45Z"/>
        <s v="2015-12-26T12:56:33Z"/>
        <s v="2018-06-18T07:57:36Z"/>
        <s v="2017-08-09T03:37:15Z"/>
        <s v="2015-04-29T23:54:16Z"/>
        <s v="2013-11-04T02:02:53Z"/>
        <s v="2015-07-16T04:21:26Z"/>
        <s v="2013-01-10T21:27:28Z"/>
        <s v="2010-06-01T21:01:30Z"/>
        <s v="2014-03-24T02:10:05Z"/>
        <s v="2015-03-15T06:17:10Z"/>
        <s v="2012-05-29T16:19:29Z"/>
        <s v="2017-07-14T15:42:12Z"/>
        <s v="2014-06-23T12:14:21Z"/>
        <s v="2015-01-27T01:23:31Z"/>
        <s v="2010-01-04T14:21:21Z"/>
        <s v="2015-06-24T02:49:52Z"/>
        <s v="2015-07-28T15:07:53Z"/>
        <s v="2015-02-20T21:02:59Z"/>
        <s v="2009-05-20T19:38:37Z"/>
        <s v="2010-11-27T09:41:48Z"/>
        <s v="2017-06-30T10:17:55Z"/>
        <s v="2016-03-04T10:24:23Z"/>
        <s v="2013-11-26T03:14:19Z"/>
        <s v="2015-04-13T18:04:58Z"/>
        <s v="2018-11-22T13:33:06Z"/>
        <s v="2019-01-02T19:53:43Z"/>
        <s v="2013-12-09T11:40:58Z"/>
        <s v="2019-12-23T14:07:40Z"/>
        <s v="2011-06-08T08:53:00Z"/>
        <s v="2015-01-03T18:44:57Z"/>
        <s v="2016-01-26T17:56:12Z"/>
        <s v="2017-12-17T09:06:50Z"/>
        <s v="2013-10-15T08:16:40Z"/>
        <s v="2014-10-09T06:36:16Z"/>
        <s v="2010-07-22T07:11:11Z"/>
        <s v="2013-09-24T23:06:48Z"/>
        <s v="2011-07-16T01:05:58Z"/>
        <s v="2011-10-14T22:49:02Z"/>
        <s v="2009-10-25T18:31:06Z"/>
        <s v="2015-01-14T00:34:25Z"/>
        <s v="2020-04-27T21:45:16Z"/>
        <s v="2014-12-18T04:09:54Z"/>
        <s v="2018-02-24T01:54:18Z"/>
        <s v="2017-11-10T06:27:29Z"/>
        <s v="2015-09-22T08:12:03Z"/>
        <s v="2017-07-18T00:06:14Z"/>
        <s v="2010-03-18T22:32:22Z"/>
        <s v="2010-03-20T20:34:23Z"/>
        <s v="2014-01-02T14:27:35Z"/>
        <s v="2014-09-06T14:29:47Z"/>
        <s v="2021-06-16T12:56:48Z"/>
        <s v="2011-11-30T09:04:08Z"/>
        <s v="2015-09-22T19:37:55Z"/>
        <s v="2016-10-09T21:20:25Z"/>
        <s v="2019-01-19T10:49:00Z"/>
        <s v="2015-04-28T21:36:39Z"/>
        <s v="2016-05-15T03:42:48Z"/>
        <s v="2014-05-13T15:38:58Z"/>
        <s v="2015-06-03T23:32:55Z"/>
        <s v="2011-11-03T05:12:51Z"/>
        <s v="2019-02-12T13:55:30Z"/>
        <s v="2010-01-20T23:14:12Z"/>
        <s v="2015-03-20T10:49:12Z"/>
        <s v="2017-11-04T10:04:08Z"/>
        <s v="2015-11-16T12:32:33Z"/>
        <s v="2018-10-13T12:36:07Z"/>
        <s v="2013-03-05T08:18:59Z"/>
        <s v="2020-02-02T15:23:24Z"/>
        <s v="2012-10-30T05:37:47Z"/>
        <s v="2015-03-14T14:31:38Z"/>
        <s v="2015-06-04T19:49:37Z"/>
        <s v="2014-02-07T07:54:44Z"/>
        <s v="2011-01-23T01:25:14Z"/>
        <s v="2017-05-14T15:41:56Z"/>
        <s v="2018-02-09T09:49:48Z"/>
        <s v="2019-01-28T17:55:49Z"/>
        <s v="2014-02-06T00:18:47Z"/>
        <s v="2014-10-13T00:26:19Z"/>
        <s v="2013-12-19T10:10:13Z"/>
        <s v="2012-08-13T22:36:09Z"/>
        <s v="2012-03-04T18:43:12Z"/>
        <s v="2011-10-09T04:23:20Z"/>
        <s v="2014-09-08T08:08:13Z"/>
        <s v="2015-02-25T00:15:59Z"/>
        <s v="2016-06-22T11:58:03Z"/>
        <s v="2017-10-05T17:32:00Z"/>
        <s v="2011-01-14T13:44:03Z"/>
        <s v="2009-09-25T20:13:23Z"/>
        <s v="2013-11-04T22:15:27Z"/>
        <s v="2011-03-15T03:24:20Z"/>
        <s v="2018-09-14T04:36:24Z"/>
        <s v="2016-06-18T01:52:42Z"/>
        <s v="2017-10-25T10:07:27Z"/>
        <s v="2016-03-08T01:03:11Z"/>
        <s v="2019-04-05T03:31:23Z"/>
        <s v="2016-06-02T08:28:18Z"/>
        <s v="2019-06-20T13:33:47Z"/>
        <s v="2016-09-20T14:35:09Z"/>
        <s v="2014-08-26T04:27:45Z"/>
        <s v="2009-12-06T14:56:32Z"/>
        <s v="2014-03-31T03:01:56Z"/>
        <s v="2017-05-30T07:18:52Z"/>
        <s v="2011-11-03T06:58:52Z"/>
        <s v="2016-05-30T09:09:09Z"/>
        <s v="2018-02-06T03:14:08Z"/>
        <s v="2014-03-03T16:53:36Z"/>
        <s v="2010-10-27T10:43:36Z"/>
        <s v="2015-11-03T09:50:50Z"/>
        <s v="2017-04-24T14:06:31Z"/>
        <s v="2016-02-16T19:48:39Z"/>
        <s v="2013-01-14T15:46:28Z"/>
        <s v="2018-01-04T08:57:51Z"/>
        <s v="2018-10-04T18:42:48Z"/>
        <s v="2016-09-28T19:10:14Z"/>
        <s v="2010-04-06T21:39:05Z"/>
        <s v="2014-10-16T18:29:12Z"/>
        <s v="2016-04-15T22:38:35Z"/>
        <s v="2013-08-20T13:58:02Z"/>
        <s v="2014-07-07T01:57:42Z"/>
        <s v="2015-05-17T07:29:15Z"/>
        <s v="2017-03-10T07:41:47Z"/>
        <s v="2012-06-26T09:52:15Z"/>
        <s v="2013-01-14T21:40:56Z"/>
        <s v="2010-10-03T12:50:52Z"/>
        <s v="2009-09-21T17:39:19Z"/>
        <s v="2019-04-08T16:36:25Z"/>
        <s v="2017-05-09T21:27:10Z"/>
        <s v="2010-01-21T08:34:27Z"/>
        <s v="2012-04-16T03:12:14Z"/>
        <s v="2019-06-22T09:24:21Z"/>
        <s v="2020-05-08T10:38:16Z"/>
        <s v="2018-01-25T03:46:34Z"/>
        <s v="2015-11-03T00:48:07Z"/>
        <s v="2018-05-02T02:48:44Z"/>
        <s v="2012-07-16T16:55:40Z"/>
        <s v="2014-07-29T00:07:51Z"/>
        <s v="2014-07-03T15:15:40Z"/>
        <s v="2011-11-19T19:50:47Z"/>
        <s v="2019-07-14T08:45:45Z"/>
        <s v="2013-09-26T14:31:10Z"/>
        <s v="2011-03-02T17:13:56Z"/>
        <s v="2016-07-28T01:52:59Z"/>
        <s v="2013-07-09T07:44:22Z"/>
        <s v="2013-01-13T10:59:52Z"/>
        <s v="2016-06-03T06:48:30Z"/>
        <s v="2019-01-04T18:19:14Z"/>
        <s v="2018-03-07T15:39:32Z"/>
        <s v="2016-07-16T13:38:42Z"/>
        <s v="2016-05-25T10:09:03Z"/>
        <s v="2019-09-08T13:38:40Z"/>
        <s v="2021-08-07T03:53:39Z"/>
        <s v="2012-12-19T13:31:50Z"/>
        <s v="2017-06-02T09:52:50Z"/>
        <s v="2021-01-12T00:50:14Z"/>
        <s v="2015-06-15T06:50:02Z"/>
        <s v="2014-04-13T07:23:51Z"/>
        <s v="2018-06-15T06:49:27Z"/>
        <s v="2019-10-28T18:16:01Z"/>
        <s v="2015-02-03T00:01:19Z"/>
        <s v="2018-10-25T09:54:54Z"/>
        <s v="2015-10-27T16:53:23Z"/>
        <s v="2020-06-04T11:01:37Z"/>
        <s v="2017-12-22T11:40:14Z"/>
        <s v="2019-05-18T08:53:50Z"/>
        <s v="2015-03-01T17:43:01Z"/>
        <s v="2014-09-29T08:39:34Z"/>
        <s v="2015-01-23T19:38:29Z"/>
        <s v="2017-12-29T12:25:47Z"/>
        <s v="2013-06-08T10:26:57Z"/>
        <s v="2017-12-01T20:49:15Z"/>
        <s v="2012-11-30T06:16:18Z"/>
        <s v="2016-03-11T04:19:18Z"/>
        <s v="2011-08-14T21:33:58Z"/>
        <s v="2017-09-18T14:56:00Z"/>
        <s v="2018-03-21T12:56:52Z"/>
        <s v="2012-02-25T12:39:13Z"/>
        <s v="2018-05-31T17:17:01Z"/>
        <s v="2017-12-16T14:19:02Z"/>
        <s v="2020-07-23T14:33:11Z"/>
        <s v="2015-04-23T11:48:53Z"/>
        <s v="2013-10-26T16:09:37Z"/>
        <s v="2017-01-20T00:44:02Z"/>
        <s v="2010-10-17T23:17:53Z"/>
        <s v="2012-03-02T12:58:28Z"/>
        <s v="2014-04-11T07:59:16Z"/>
        <s v="2019-01-08T09:03:40Z"/>
        <s v="2013-07-23T22:19:57Z"/>
        <s v="2014-02-06T17:28:03Z"/>
        <s v="2013-08-19T20:24:24Z"/>
        <s v="2020-06-07T02:48:33Z"/>
        <s v="2016-04-10T07:40:11Z"/>
        <s v="2016-10-06T22:38:38Z"/>
        <s v="2011-10-02T16:25:27Z"/>
        <s v="2012-06-01T20:49:04Z"/>
        <s v="2015-01-02T00:31:34Z"/>
        <s v="2011-08-15T18:06:16Z"/>
        <s v="2016-01-04T18:50:02Z"/>
        <s v="2017-02-21T21:35:07Z"/>
        <s v="2012-11-19T20:14:46Z"/>
        <s v="2012-07-18T19:57:25Z"/>
        <s v="2018-03-17T04:24:10Z"/>
        <s v="2014-03-23T21:56:19Z"/>
        <s v="2014-09-20T16:37:28Z"/>
        <s v="2014-09-29T03:52:07Z"/>
        <s v="2016-01-30T04:36:48Z"/>
        <s v="2015-06-03T13:13:14Z"/>
        <s v="2016-09-08T14:21:41Z"/>
        <s v="2011-12-15T20:01:12Z"/>
        <s v="2016-04-23T03:54:26Z"/>
        <s v="2016-05-19T20:15:28Z"/>
        <s v="2018-12-28T08:37:22Z"/>
        <s v="2017-09-06T07:39:03Z"/>
        <s v="2017-09-09T17:43:36Z"/>
        <s v="2020-12-06T12:39:08Z"/>
        <s v="2012-05-12T14:37:08Z"/>
        <s v="2009-09-16T12:15:12Z"/>
        <s v="2015-08-29T12:29:03Z"/>
        <s v="2016-03-29T17:00:47Z"/>
        <s v="2014-09-21T17:01:48Z"/>
        <s v="2011-02-12T05:23:30Z"/>
        <s v="2018-11-04T13:22:51Z"/>
        <s v="2014-08-18T11:54:00Z"/>
        <s v="2011-07-15T22:56:39Z"/>
        <s v="2015-02-14T11:33:07Z"/>
        <s v="2013-04-22T16:16:39Z"/>
        <s v="2015-04-07T21:25:17Z"/>
        <s v="2018-01-05T14:21:14Z"/>
        <s v="2010-06-09T22:24:38Z"/>
        <s v="2015-10-06T01:07:32Z"/>
        <s v="2012-12-17T21:34:03Z"/>
        <s v="2019-01-08T03:49:07Z"/>
        <s v="2016-01-19T07:49:48Z"/>
        <s v="2014-07-10T14:04:09Z"/>
        <s v="2009-01-15T16:15:18Z"/>
        <s v="2015-11-28T12:59:34Z"/>
        <s v="2015-07-11T17:32:01Z"/>
        <s v="2014-02-09T22:39:20Z"/>
        <s v="2019-01-08T06:01:56Z"/>
        <s v="2013-06-21T20:32:35Z"/>
        <s v="2012-03-18T19:46:15Z"/>
        <s v="2015-11-29T16:58:12Z"/>
        <s v="2011-05-25T23:39:40Z"/>
        <s v="2021-04-24T01:25:23Z"/>
        <s v="2017-05-09T21:09:14Z"/>
        <s v="2014-05-09T18:15:20Z"/>
        <s v="2014-04-25T09:44:42Z"/>
        <s v="2011-04-07T05:46:29Z"/>
        <s v="2013-12-19T15:49:32Z"/>
        <s v="2017-10-19T20:28:34Z"/>
        <s v="2014-09-30T11:12:48Z"/>
        <s v="2015-05-14T22:26:28Z"/>
        <s v="2014-05-28T19:49:55Z"/>
        <s v="2011-04-01T04:01:46Z"/>
        <s v="2011-04-18T15:07:41Z"/>
        <s v="2011-02-28T02:44:05Z"/>
        <s v="2013-03-20T09:37:43Z"/>
        <s v="2016-01-18T22:37:52Z"/>
        <s v="2015-05-06T01:44:15Z"/>
        <s v="2019-09-05T21:30:20Z"/>
        <s v="2016-12-22T12:51:39Z"/>
        <s v="2009-12-05T22:15:25Z"/>
        <s v="2015-03-28T16:52:40Z"/>
        <s v="2016-02-19T20:18:26Z"/>
        <s v="2020-01-16T03:59:20Z"/>
        <s v="2019-04-17T03:05:58Z"/>
        <s v="2020-12-30T14:40:50Z"/>
        <s v="2016-11-14T08:06:56Z"/>
        <s v="2018-01-27T12:00:15Z"/>
        <s v="2015-06-13T18:25:17Z"/>
        <s v="2015-10-05T15:45:36Z"/>
        <s v="2012-08-23T20:56:30Z"/>
        <s v="2017-07-13T06:12:33Z"/>
        <s v="2014-10-28T17:17:45Z"/>
        <s v="2016-08-08T19:41:59Z"/>
        <s v="2016-01-22T02:10:28Z"/>
        <s v="2016-10-25T19:38:30Z"/>
        <s v="2013-08-14T08:33:55Z"/>
        <s v="2014-04-01T22:40:40Z"/>
        <s v="2013-10-28T13:19:39Z"/>
        <s v="2011-03-07T18:44:25Z"/>
        <s v="2018-04-24T16:36:27Z"/>
        <s v="2017-07-30T02:51:17Z"/>
        <s v="2017-01-26T19:51:40Z"/>
        <s v="2015-03-01T09:47:08Z"/>
        <s v="2014-06-18T14:41:15Z"/>
        <s v="2015-07-01T16:05:10Z"/>
        <s v="2012-02-08T19:07:25Z"/>
        <s v="2018-02-11T03:49:29Z"/>
        <s v="2019-11-28T13:51:55Z"/>
        <s v="2016-11-17T22:32:08Z"/>
        <s v="2016-11-20T07:55:43Z"/>
        <s v="2013-03-10T15:12:45Z"/>
        <s v="2014-04-16T13:08:18Z"/>
        <s v="2017-07-04T19:03:31Z"/>
        <s v="2016-05-12T08:34:31Z"/>
        <s v="2018-12-21T14:26:43Z"/>
        <s v="2018-01-03T18:13:57Z"/>
        <s v="2021-10-23T16:07:04Z"/>
        <s v="2017-01-03T11:44:33Z"/>
        <s v="2016-10-05T22:35:23Z"/>
        <s v="2018-02-12T19:30:10Z"/>
        <s v="2017-02-05T12:11:23Z"/>
        <s v="2012-04-12T20:22:50Z"/>
        <s v="2021-03-19T06:18:20Z"/>
        <s v="2013-10-08T23:32:10Z"/>
        <s v="2015-03-19T18:21:20Z"/>
        <s v="2015-04-13T21:35:38Z"/>
        <s v="2010-09-13T23:02:39Z"/>
        <s v="2011-12-04T08:49:15Z"/>
        <s v="2020-10-24T21:49:40Z"/>
        <s v="2020-07-04T18:57:47Z"/>
        <s v="2018-09-24T05:33:46Z"/>
        <s v="2019-06-16T09:55:25Z"/>
        <s v="2013-10-16T19:08:55Z"/>
        <s v="2015-07-09T17:49:00Z"/>
        <s v="2013-06-29T23:59:48Z"/>
        <s v="2014-02-11T07:28:24Z"/>
        <s v="2015-06-11T07:38:23Z"/>
        <s v="2015-09-14T15:04:15Z"/>
        <s v="2014-08-05T20:04:20Z"/>
        <s v="2018-02-28T15:23:47Z"/>
        <s v="2013-12-27T19:06:07Z"/>
        <s v="2014-09-05T04:06:39Z"/>
        <s v="2018-08-22T07:06:06Z"/>
        <s v="2014-01-16T17:37:20Z"/>
        <s v="2018-04-02T14:43:21Z"/>
        <s v="2016-11-24T18:49:37Z"/>
        <s v="2014-08-20T08:41:38Z"/>
        <s v="2019-04-09T09:10:06Z"/>
        <s v="2016-02-07T23:02:45Z"/>
        <s v="2010-06-23T01:05:42Z"/>
        <s v="2013-10-31T00:10:06Z"/>
        <s v="2018-05-01T22:39:02Z"/>
        <s v="2019-07-10T22:50:20Z"/>
        <s v="2017-08-05T16:10:32Z"/>
        <s v="2018-12-02T19:28:41Z"/>
        <s v="2018-05-31T01:37:46Z"/>
        <s v="2018-06-22T17:43:55Z"/>
        <s v="2011-05-25T17:48:59Z"/>
        <s v="2017-03-20T06:10:04Z"/>
        <s v="2018-04-05T16:58:38Z"/>
        <s v="2011-08-22T05:24:31Z"/>
        <s v="2009-09-09T04:55:16Z"/>
        <s v="2020-11-16T14:39:01Z"/>
        <s v="2016-12-07T19:15:31Z"/>
        <s v="2013-08-05T07:51:08Z"/>
        <s v="2015-08-10T13:36:26Z"/>
        <s v="2011-01-09T08:43:57Z"/>
        <s v="2016-07-16T10:19:45Z"/>
        <s v="2015-09-03T23:39:26Z"/>
        <s v="2013-10-25T14:08:10Z"/>
        <s v="2015-05-15T06:57:27Z"/>
        <s v="2012-06-14T07:56:46Z"/>
        <s v="2020-06-30T04:07:36Z"/>
        <s v="2020-11-10T14:27:00Z"/>
        <s v="2013-01-28T16:47:12Z"/>
        <s v="2014-06-03T04:44:09Z"/>
        <s v="2014-12-01T16:37:39Z"/>
        <s v="2017-10-17T15:20:18Z"/>
        <s v="2011-10-08T22:38:32Z"/>
        <s v="2013-12-14T10:00:06Z"/>
        <s v="2020-12-02T11:10:16Z"/>
        <s v="2013-03-14T05:04:51Z"/>
        <s v="2019-02-02T05:51:12Z"/>
        <s v="2015-04-06T14:26:21Z"/>
        <s v="2021-07-03T01:02:42Z"/>
        <s v="2019-08-24T00:14:52Z"/>
        <s v="2015-07-15T07:24:48Z"/>
        <s v="2018-03-07T03:09:25Z"/>
        <s v="2019-05-10T16:59:42Z"/>
        <s v="2012-08-10T19:34:38Z"/>
        <s v="2016-07-13T07:58:54Z"/>
        <s v="2014-04-02T14:33:33Z"/>
        <s v="2011-01-01T23:47:21Z"/>
        <s v="2019-09-26T15:40:46Z"/>
        <s v="2016-06-08T15:56:25Z"/>
        <s v="2020-04-11T09:21:31Z"/>
        <s v="2018-12-22T05:05:24Z"/>
        <s v="2016-08-08T15:07:24Z"/>
        <s v="2013-08-11T23:18:28Z"/>
        <s v="2015-11-21T16:02:26Z"/>
        <s v="2014-04-20T13:06:28Z"/>
        <s v="2019-08-14T14:31:08Z"/>
        <s v="2018-12-22T13:57:19Z"/>
        <s v="2015-06-09T19:25:38Z"/>
        <s v="2020-08-07T15:37:57Z"/>
        <s v="2015-10-26T21:21:31Z"/>
        <s v="2013-09-07T19:39:57Z"/>
        <s v="2014-07-29T09:09:44Z"/>
        <s v="2016-11-24T10:00:05Z"/>
        <s v="2022-07-12T16:33:25Z"/>
        <s v="2017-04-19T07:55:31Z"/>
        <s v="2016-06-02T15:04:53Z"/>
        <s v="2015-11-07T03:30:36Z"/>
        <s v="2010-10-06T06:58:48Z"/>
        <s v="2015-04-30T16:21:15Z"/>
        <s v="2013-08-13T11:45:21Z"/>
        <s v="2014-09-24T15:24:30Z"/>
        <s v="2015-05-18T09:54:57Z"/>
        <s v="2015-03-13T13:24:56Z"/>
        <s v="2016-03-11T02:06:28Z"/>
        <s v="2015-08-17T15:25:52Z"/>
        <s v="2012-03-02T22:11:24Z"/>
        <s v="2012-02-13T15:20:02Z"/>
        <s v="2018-10-25T21:25:02Z"/>
        <s v="2015-11-28T20:56:35Z"/>
        <s v="2009-04-24T11:31:24Z"/>
        <s v="2013-11-29T17:36:32Z"/>
        <s v="2014-11-18T17:20:26Z"/>
        <s v="2015-11-10T21:45:38Z"/>
        <s v="2013-11-30T00:29:56Z"/>
        <s v="2016-07-12T20:01:24Z"/>
        <s v="2016-05-30T17:27:35Z"/>
        <s v="2012-01-05T19:48:55Z"/>
        <s v="2015-12-14T22:05:06Z"/>
        <s v="2015-11-07T05:07:52Z"/>
        <s v="2011-11-19T19:12:05Z"/>
        <s v="2011-02-17T02:07:15Z"/>
        <s v="2013-10-21T20:07:22Z"/>
        <s v="2015-03-19T15:57:47Z"/>
        <s v="2020-09-29T02:21:06Z"/>
        <s v="2019-03-31T00:45:57Z"/>
        <s v="2016-06-02T07:44:14Z"/>
        <s v="2012-10-13T08:08:44Z"/>
        <s v="2014-03-30T22:29:12Z"/>
        <s v="2019-02-26T15:45:38Z"/>
        <s v="2014-11-07T20:49:31Z"/>
        <s v="2010-12-26T12:53:43Z"/>
        <s v="2016-09-30T11:53:17Z"/>
        <s v="2014-06-13T21:19:18Z"/>
        <s v="2019-02-07T06:35:24Z"/>
        <s v="2018-04-04T06:37:33Z"/>
        <s v="2016-01-28T18:29:14Z"/>
        <s v="2022-04-10T05:42:40Z"/>
        <s v="2019-04-25T03:02:16Z"/>
        <s v="2014-08-19T03:46:38Z"/>
        <s v="2014-05-25T16:51:23Z"/>
        <s v="2014-01-11T14:06:25Z"/>
        <s v="2018-08-23T05:04:38Z"/>
        <s v="2012-01-07T00:31:41Z"/>
        <s v="2014-06-07T07:00:10Z"/>
        <s v="2017-12-10T13:29:15Z"/>
        <s v="2016-11-12T15:44:26Z"/>
        <s v="2016-01-07T16:44:12Z"/>
        <s v="2011-02-17T11:08:03Z"/>
        <s v="2018-11-01T04:34:19Z"/>
        <s v="2013-03-24T13:46:06Z"/>
        <s v="2014-05-02T12:36:31Z"/>
        <s v="2016-08-01T20:54:54Z"/>
        <s v="2016-04-26T23:03:23Z"/>
        <s v="2015-07-07T15:30:39Z"/>
        <s v="2016-11-13T23:02:13Z"/>
        <s v="2015-10-13T03:49:25Z"/>
        <s v="2018-10-17T17:53:45Z"/>
        <s v="2015-08-31T03:36:35Z"/>
        <s v="2013-07-28T05:35:33Z"/>
        <s v="2012-05-10T03:00:55Z"/>
        <s v="2010-02-27T15:55:23Z"/>
        <s v="2015-03-22T07:00:24Z"/>
        <s v="2012-03-05T02:05:17Z"/>
        <s v="2011-07-15T03:27:54Z"/>
        <s v="2010-11-22T21:21:23Z"/>
        <s v="2014-11-03T03:21:42Z"/>
        <s v="2010-12-29T18:49:51Z"/>
        <s v="2018-06-13T02:51:24Z"/>
        <s v="2013-10-27T12:39:02Z"/>
        <s v="2018-11-12T06:28:56Z"/>
        <s v="2015-12-26T21:03:43Z"/>
        <s v="2018-10-09T22:09:56Z"/>
        <s v="2015-01-02T19:28:35Z"/>
        <s v="2014-04-05T22:19:51Z"/>
        <s v="2014-06-12T16:00:38Z"/>
        <s v="2022-04-16T04:15:18Z"/>
        <s v="2014-07-05T07:07:43Z"/>
        <s v="2019-02-25T14:31:51Z"/>
        <s v="2016-10-02T13:31:23Z"/>
        <s v="2016-10-25T21:17:50Z"/>
        <s v="2014-07-29T20:27:33Z"/>
        <s v="2013-01-15T22:34:48Z"/>
        <s v="2017-03-01T05:43:35Z"/>
        <s v="2018-08-05T13:32:48Z"/>
        <s v="2020-02-20T05:57:33Z"/>
        <s v="2014-06-13T00:23:00Z"/>
        <s v="2015-03-02T03:36:58Z"/>
        <s v="2018-04-30T10:25:31Z"/>
        <s v="2016-01-28T07:40:43Z"/>
        <s v="2019-07-11T08:33:48Z"/>
        <s v="2014-05-20T19:24:43Z"/>
        <s v="2012-09-16T16:38:06Z"/>
        <s v="2014-07-04T03:54:59Z"/>
        <s v="2016-10-20T17:25:08Z"/>
        <s v="2013-08-03T00:20:12Z"/>
        <s v="2017-06-12T06:12:28Z"/>
        <s v="2014-08-17T16:23:07Z"/>
        <s v="2017-05-17T23:48:53Z"/>
        <s v="2015-06-30T12:16:50Z"/>
        <s v="2015-11-17T11:17:38Z"/>
        <s v="2014-05-22T12:45:16Z"/>
        <s v="2017-08-29T16:26:12Z"/>
        <s v="2015-04-29T06:59:32Z"/>
        <s v="2018-08-14T10:32:07Z"/>
        <s v="2020-10-09T10:04:21Z"/>
        <s v="2017-10-19T06:18:47Z"/>
        <s v="2015-01-13T23:30:18Z"/>
        <s v="2013-12-12T23:29:41Z"/>
        <s v="2020-10-26T19:57:28Z"/>
        <s v="2013-07-13T19:32:06Z"/>
        <s v="2019-06-19T00:49:06Z"/>
        <s v="2016-03-04T12:26:34Z"/>
        <s v="2016-01-13T18:53:25Z"/>
        <s v="2013-12-11T19:37:46Z"/>
        <s v="2018-09-24T01:49:11Z"/>
        <s v="2016-08-24T03:12:48Z"/>
        <s v="2016-12-26T04:40:55Z"/>
        <s v="2018-02-24T11:29:03Z"/>
        <s v="2017-01-20T05:20:21Z"/>
        <s v="2019-07-04T11:08:12Z"/>
        <s v="2012-02-13T08:38:00Z"/>
        <s v="2016-08-15T06:59:08Z"/>
        <s v="2014-06-05T21:13:40Z"/>
        <s v="2015-08-07T06:50:27Z"/>
        <s v="2015-07-01T11:06:45Z"/>
        <s v="2017-02-15T09:02:40Z"/>
        <s v="2019-09-04T20:47:01Z"/>
        <s v="2011-04-30T20:04:24Z"/>
        <s v="2019-01-10T10:42:31Z"/>
        <s v="2016-09-08T09:13:47Z"/>
        <s v="2016-02-15T16:45:02Z"/>
        <s v="2011-11-09T22:32:45Z"/>
        <s v="2016-10-27T12:00:26Z"/>
        <s v="2018-12-14T08:54:24Z"/>
        <s v="2009-12-24T13:16:23Z"/>
        <s v="2014-05-19T18:33:01Z"/>
        <s v="2011-08-23T07:57:17Z"/>
        <s v="2019-08-09T11:24:00Z"/>
        <s v="2017-06-03T14:27:57Z"/>
        <s v="2017-05-10T19:44:51Z"/>
        <s v="2012-03-18T15:41:35Z"/>
        <s v="2009-09-20T07:08:19Z"/>
        <s v="2013-12-16T12:51:09Z"/>
        <s v="2014-04-07T08:45:18Z"/>
        <s v="2016-08-19T14:39:15Z"/>
        <s v="2014-05-18T02:40:53Z"/>
        <s v="2019-06-13T19:16:41Z"/>
        <s v="2017-08-05T05:24:35Z"/>
        <s v="2019-12-08T20:21:32Z"/>
        <s v="2014-01-20T14:14:11Z"/>
        <s v="2012-06-08T15:32:30Z"/>
        <s v="2015-10-07T09:51:12Z"/>
        <s v="2016-08-16T19:35:26Z"/>
        <s v="2014-08-19T23:44:50Z"/>
        <s v="2012-08-09T23:14:02Z"/>
        <s v="2015-08-25T07:15:56Z"/>
        <s v="2013-05-14T15:07:47Z"/>
      </sharedItems>
    </cacheField>
    <cacheField name="updatedAt" numFmtId="0">
      <sharedItems>
        <s v="2022-08-25T14:06:59Z"/>
        <s v="2022-08-25T12:57:50Z"/>
        <s v="2022-08-25T14:37:02Z"/>
        <s v="2022-08-25T14:34:31Z"/>
        <s v="2022-08-25T14:36:56Z"/>
        <s v="2022-08-25T14:36:40Z"/>
        <s v="2022-08-25T14:27:04Z"/>
        <s v="2022-08-25T14:28:57Z"/>
        <s v="2022-08-25T14:21:56Z"/>
        <s v="2022-08-25T14:33:00Z"/>
        <s v="2022-08-25T14:07:17Z"/>
        <s v="2022-08-25T14:25:00Z"/>
        <s v="2022-08-25T14:15:26Z"/>
        <s v="2022-08-25T14:11:29Z"/>
        <s v="2022-08-25T14:00:38Z"/>
        <s v="2022-08-25T14:36:13Z"/>
        <s v="2022-08-25T14:33:59Z"/>
        <s v="2022-08-25T13:09:50Z"/>
        <s v="2022-08-25T14:00:45Z"/>
        <s v="2022-08-25T14:37:31Z"/>
        <s v="2022-08-25T14:09:10Z"/>
        <s v="2022-08-25T14:11:30Z"/>
        <s v="2022-08-25T14:25:05Z"/>
        <s v="2022-08-25T12:49:06Z"/>
        <s v="2022-08-25T14:16:32Z"/>
        <s v="2022-08-25T14:24:38Z"/>
        <s v="2022-08-25T14:29:39Z"/>
        <s v="2022-08-25T14:21:20Z"/>
        <s v="2022-08-25T13:20:04Z"/>
        <s v="2022-08-25T14:22:05Z"/>
        <s v="2022-08-25T14:37:17Z"/>
        <s v="2022-08-25T14:05:17Z"/>
        <s v="2022-08-25T14:29:23Z"/>
        <s v="2022-08-25T14:33:51Z"/>
        <s v="2022-08-25T14:14:45Z"/>
        <s v="2022-08-25T14:34:24Z"/>
        <s v="2022-08-25T14:07:03Z"/>
        <s v="2022-08-25T14:03:27Z"/>
        <s v="2022-08-25T13:51:18Z"/>
        <s v="2022-08-25T14:30:12Z"/>
        <s v="2022-08-25T13:58:45Z"/>
        <s v="2022-08-25T14:27:35Z"/>
        <s v="2022-08-25T14:34:27Z"/>
        <s v="2022-08-25T14:07:14Z"/>
        <s v="2022-08-25T14:30:49Z"/>
        <s v="2022-08-25T14:16:19Z"/>
        <s v="2022-08-25T14:16:10Z"/>
        <s v="2022-08-25T12:56:59Z"/>
        <s v="2022-08-25T13:53:50Z"/>
        <s v="2022-08-25T14:27:11Z"/>
        <s v="2022-08-25T14:34:21Z"/>
        <s v="2022-08-25T14:34:01Z"/>
        <s v="2022-08-25T14:36:25Z"/>
        <s v="2022-08-25T14:20:51Z"/>
        <s v="2022-08-25T14:27:26Z"/>
        <s v="2022-08-25T13:15:01Z"/>
        <s v="2022-08-25T14:24:19Z"/>
        <s v="2022-08-25T14:29:51Z"/>
        <s v="2022-08-25T13:12:53Z"/>
        <s v="2022-08-25T13:51:07Z"/>
        <s v="2022-08-25T14:25:30Z"/>
        <s v="2022-08-25T13:49:30Z"/>
        <s v="2022-08-25T14:27:36Z"/>
        <s v="2022-08-25T13:20:08Z"/>
        <s v="2022-08-25T14:33:42Z"/>
        <s v="2022-08-25T14:03:21Z"/>
        <s v="2022-08-25T14:14:35Z"/>
        <s v="2022-08-25T12:35:40Z"/>
        <s v="2022-08-25T14:15:58Z"/>
        <s v="2022-08-25T14:35:57Z"/>
        <s v="2022-08-25T12:45:04Z"/>
        <s v="2022-08-25T14:02:55Z"/>
        <s v="2022-08-25T14:20:18Z"/>
        <s v="2022-08-25T14:36:57Z"/>
        <s v="2022-08-25T14:26:26Z"/>
        <s v="2022-08-25T10:40:32Z"/>
        <s v="2022-08-25T14:11:05Z"/>
        <s v="2022-08-25T14:10:59Z"/>
        <s v="2022-08-25T14:12:13Z"/>
        <s v="2022-08-25T14:30:25Z"/>
        <s v="2022-08-25T14:22:39Z"/>
        <s v="2022-08-25T14:26:53Z"/>
        <s v="2022-08-25T09:49:03Z"/>
        <s v="2022-08-25T08:35:54Z"/>
        <s v="2022-08-25T13:30:51Z"/>
        <s v="2022-08-25T14:14:47Z"/>
        <s v="2022-08-25T14:27:58Z"/>
        <s v="2022-08-25T13:28:37Z"/>
        <s v="2022-08-25T14:30:51Z"/>
        <s v="2022-08-25T14:28:05Z"/>
        <s v="2022-08-25T14:21:46Z"/>
        <s v="2022-08-25T12:36:02Z"/>
        <s v="2022-08-25T13:04:34Z"/>
        <s v="2022-08-25T14:36:55Z"/>
        <s v="2022-08-25T13:31:59Z"/>
        <s v="2022-08-25T14:24:33Z"/>
        <s v="2022-08-25T11:41:33Z"/>
        <s v="2022-08-25T13:53:47Z"/>
        <s v="2022-08-25T13:46:00Z"/>
        <s v="2022-08-25T14:23:35Z"/>
        <s v="2022-08-25T14:13:20Z"/>
        <s v="2022-08-25T14:20:32Z"/>
        <s v="2022-08-25T11:55:19Z"/>
        <s v="2022-08-25T10:13:42Z"/>
        <s v="2022-08-25T14:02:43Z"/>
        <s v="2022-08-25T14:35:29Z"/>
        <s v="2022-08-25T14:35:02Z"/>
        <s v="2022-08-25T12:50:28Z"/>
        <s v="2022-08-25T10:27:53Z"/>
        <s v="2022-08-25T14:37:45Z"/>
        <s v="2022-08-25T14:30:20Z"/>
        <s v="2022-08-25T13:16:25Z"/>
        <s v="2022-08-25T14:16:00Z"/>
        <s v="2022-08-25T14:18:06Z"/>
        <s v="2022-08-25T14:20:29Z"/>
        <s v="2022-08-25T12:40:40Z"/>
        <s v="2022-08-25T13:43:04Z"/>
        <s v="2022-08-25T14:13:14Z"/>
        <s v="2022-08-25T13:07:36Z"/>
        <s v="2022-08-25T14:22:24Z"/>
        <s v="2022-08-25T13:43:54Z"/>
        <s v="2022-08-25T14:21:17Z"/>
        <s v="2022-08-25T14:37:38Z"/>
        <s v="2022-08-25T12:33:12Z"/>
        <s v="2022-08-25T14:24:42Z"/>
        <s v="2022-08-25T14:05:16Z"/>
        <s v="2022-08-25T14:00:02Z"/>
        <s v="2022-08-25T13:26:18Z"/>
        <s v="2022-08-25T13:54:07Z"/>
        <s v="2022-08-25T14:12:12Z"/>
        <s v="2022-08-25T14:06:15Z"/>
        <s v="2022-08-25T13:09:51Z"/>
        <s v="2022-08-25T13:30:52Z"/>
        <s v="2022-08-25T14:23:52Z"/>
        <s v="2022-08-25T14:36:17Z"/>
        <s v="2022-08-25T13:17:32Z"/>
        <s v="2022-08-25T12:52:53Z"/>
        <s v="2022-08-25T14:11:17Z"/>
        <s v="2022-08-25T14:37:50Z"/>
        <s v="2022-08-25T14:27:03Z"/>
        <s v="2022-08-25T13:16:21Z"/>
        <s v="2022-08-25T14:20:47Z"/>
        <s v="2022-08-25T14:23:11Z"/>
        <s v="2022-08-25T14:28:46Z"/>
        <s v="2022-08-25T14:30:50Z"/>
        <s v="2022-08-25T14:27:54Z"/>
        <s v="2022-08-25T12:38:27Z"/>
        <s v="2022-08-25T14:17:44Z"/>
        <s v="2022-08-25T14:28:04Z"/>
        <s v="2022-08-25T14:19:16Z"/>
        <s v="2022-08-25T13:48:49Z"/>
        <s v="2022-08-25T13:10:18Z"/>
        <s v="2022-08-25T14:30:26Z"/>
        <s v="2022-08-25T14:29:53Z"/>
        <s v="2022-08-25T13:56:34Z"/>
        <s v="2022-08-25T13:23:40Z"/>
        <s v="2022-08-25T14:32:31Z"/>
        <s v="2022-08-25T14:03:32Z"/>
        <s v="2022-08-25T14:14:25Z"/>
        <s v="2022-08-25T11:30:59Z"/>
        <s v="2022-08-25T12:33:17Z"/>
        <s v="2022-08-25T09:58:20Z"/>
        <s v="2022-08-25T10:03:51Z"/>
        <s v="2022-08-25T12:51:11Z"/>
        <s v="2022-08-25T14:18:17Z"/>
        <s v="2022-08-25T11:46:48Z"/>
        <s v="2022-08-25T12:07:55Z"/>
        <s v="2022-08-25T12:05:18Z"/>
        <s v="2022-08-25T14:33:16Z"/>
        <s v="2022-08-25T12:40:59Z"/>
        <s v="2022-08-25T14:24:23Z"/>
        <s v="2022-08-25T11:16:24Z"/>
        <s v="2022-08-25T10:55:44Z"/>
        <s v="2022-08-25T12:36:32Z"/>
        <s v="2022-08-25T12:45:17Z"/>
        <s v="2022-08-25T14:34:39Z"/>
        <s v="2022-08-25T12:28:08Z"/>
        <s v="2022-08-25T14:05:19Z"/>
        <s v="2022-08-25T14:05:28Z"/>
        <s v="2022-08-25T13:56:21Z"/>
        <s v="2022-08-25T12:38:05Z"/>
        <s v="2022-08-25T13:20:00Z"/>
        <s v="2022-08-25T07:41:23Z"/>
        <s v="2022-08-25T09:49:12Z"/>
        <s v="2022-08-25T14:38:12Z"/>
        <s v="2022-08-25T14:20:11Z"/>
        <s v="2022-08-25T13:03:08Z"/>
        <s v="2022-08-25T13:55:36Z"/>
        <s v="2022-08-25T14:26:58Z"/>
        <s v="2022-08-25T05:24:46Z"/>
        <s v="2022-08-25T14:38:06Z"/>
        <s v="2022-08-25T14:25:14Z"/>
        <s v="2022-08-25T13:27:36Z"/>
        <s v="2022-08-25T14:04:07Z"/>
        <s v="2022-08-25T14:33:30Z"/>
        <s v="2022-08-25T14:37:23Z"/>
        <s v="2022-08-25T13:52:35Z"/>
        <s v="2022-08-25T12:21:37Z"/>
        <s v="2022-08-25T13:14:01Z"/>
        <s v="2022-08-25T12:56:41Z"/>
        <s v="2022-08-25T10:36:00Z"/>
        <s v="2022-08-25T14:22:26Z"/>
        <s v="2022-08-25T14:03:13Z"/>
        <s v="2022-08-25T14:14:50Z"/>
        <s v="2022-08-25T13:59:23Z"/>
        <s v="2022-08-25T13:58:23Z"/>
        <s v="2022-08-25T14:24:21Z"/>
        <s v="2022-08-25T09:50:25Z"/>
        <s v="2022-08-25T14:30:06Z"/>
        <s v="2022-08-25T11:05:58Z"/>
        <s v="2022-08-25T14:26:12Z"/>
        <s v="2022-08-25T14:19:01Z"/>
        <s v="2022-08-25T14:11:24Z"/>
        <s v="2022-08-25T14:11:25Z"/>
        <s v="2022-08-25T14:04:08Z"/>
        <s v="2022-08-25T14:29:58Z"/>
        <s v="2022-08-25T14:07:54Z"/>
        <s v="2022-08-25T13:50:15Z"/>
        <s v="2022-08-25T13:15:58Z"/>
        <s v="2022-08-25T14:31:39Z"/>
        <s v="2022-08-25T14:22:31Z"/>
        <s v="2022-08-25T12:22:22Z"/>
        <s v="2022-08-25T13:15:50Z"/>
        <s v="2022-08-25T09:36:56Z"/>
        <s v="2022-08-25T12:24:28Z"/>
        <s v="2022-08-25T14:25:34Z"/>
        <s v="2022-08-25T03:43:06Z"/>
        <s v="2022-08-25T09:24:04Z"/>
        <s v="2022-08-25T13:28:38Z"/>
        <s v="2022-08-25T13:23:45Z"/>
        <s v="2022-08-25T12:28:00Z"/>
        <s v="2022-08-25T12:50:07Z"/>
        <s v="2022-08-25T14:37:15Z"/>
        <s v="2022-08-25T11:47:25Z"/>
        <s v="2022-08-25T14:01:22Z"/>
        <s v="2022-08-25T14:26:40Z"/>
        <s v="2022-08-25T13:58:38Z"/>
        <s v="2022-08-25T13:59:18Z"/>
        <s v="2022-08-25T14:14:18Z"/>
        <s v="2022-08-25T14:37:04Z"/>
        <s v="2022-08-25T13:57:50Z"/>
        <s v="2022-08-25T14:14:04Z"/>
        <s v="2022-08-25T13:36:01Z"/>
        <s v="2022-08-25T14:34:46Z"/>
        <s v="2022-08-25T12:02:29Z"/>
        <s v="2022-08-24T20:37:45Z"/>
        <s v="2022-08-25T14:35:04Z"/>
        <s v="2022-08-25T14:28:56Z"/>
        <s v="2022-08-25T09:37:14Z"/>
        <s v="2022-08-25T14:06:05Z"/>
        <s v="2022-08-25T14:01:05Z"/>
        <s v="2022-08-25T14:17:31Z"/>
        <s v="2022-08-25T07:01:46Z"/>
        <s v="2022-08-25T14:24:09Z"/>
        <s v="2022-08-25T14:32:57Z"/>
        <s v="2022-08-25T12:55:35Z"/>
        <s v="2022-08-25T07:09:00Z"/>
        <s v="2022-08-25T14:07:36Z"/>
        <s v="2022-08-25T14:11:31Z"/>
        <s v="2022-08-25T14:24:45Z"/>
        <s v="2022-08-25T14:38:39Z"/>
        <s v="2022-08-25T13:35:00Z"/>
        <s v="2022-08-25T13:57:13Z"/>
        <s v="2022-08-25T10:58:45Z"/>
        <s v="2022-08-25T13:54:53Z"/>
        <s v="2022-08-25T14:16:49Z"/>
        <s v="2022-08-25T14:22:43Z"/>
        <s v="2022-08-25T10:42:10Z"/>
        <s v="2022-08-25T14:08:03Z"/>
        <s v="2022-08-25T14:22:38Z"/>
        <s v="2022-08-25T14:29:54Z"/>
        <s v="2022-08-25T10:17:00Z"/>
        <s v="2022-08-25T14:32:19Z"/>
        <s v="2022-08-25T13:07:06Z"/>
        <s v="2022-08-25T14:26:19Z"/>
        <s v="2022-08-25T14:36:29Z"/>
        <s v="2022-08-22T11:35:57Z"/>
        <s v="2022-08-25T14:23:37Z"/>
        <s v="2022-08-25T08:30:07Z"/>
        <s v="2022-08-25T13:31:05Z"/>
        <s v="2022-08-25T11:29:57Z"/>
        <s v="2022-08-25T14:08:28Z"/>
        <s v="2022-08-25T12:52:04Z"/>
        <s v="2022-08-25T14:26:45Z"/>
        <s v="2022-08-25T14:16:25Z"/>
        <s v="2022-08-25T12:06:28Z"/>
        <s v="2022-08-25T11:17:05Z"/>
        <s v="2022-08-25T14:02:37Z"/>
        <s v="2022-08-25T13:54:48Z"/>
        <s v="2022-08-25T12:58:02Z"/>
        <s v="2022-08-25T03:12:46Z"/>
        <s v="2022-08-25T13:39:12Z"/>
        <s v="2022-08-25T14:17:03Z"/>
        <s v="2022-08-25T11:53:27Z"/>
        <s v="2022-08-25T14:37:07Z"/>
        <s v="2022-08-25T12:57:19Z"/>
        <s v="2022-08-25T13:58:47Z"/>
        <s v="2022-08-25T09:19:26Z"/>
        <s v="2022-08-25T13:10:40Z"/>
        <s v="2022-08-25T14:11:51Z"/>
        <s v="2022-08-25T14:08:34Z"/>
        <s v="2022-08-25T14:19:06Z"/>
        <s v="2022-08-25T11:38:43Z"/>
        <s v="2022-08-25T08:35:41Z"/>
        <s v="2022-08-25T07:20:46Z"/>
        <s v="2022-08-25T09:54:17Z"/>
        <s v="2022-08-25T02:15:21Z"/>
        <s v="2022-08-25T09:31:51Z"/>
        <s v="2022-08-25T14:33:24Z"/>
        <s v="2022-08-25T14:35:01Z"/>
        <s v="2022-08-25T09:15:26Z"/>
        <s v="2022-08-25T13:22:11Z"/>
        <s v="2022-08-25T14:35:09Z"/>
        <s v="2022-08-25T12:29:14Z"/>
        <s v="2022-08-25T13:37:26Z"/>
        <s v="2022-08-25T14:39:02Z"/>
        <s v="2022-08-25T08:40:01Z"/>
        <s v="2022-08-25T13:46:22Z"/>
        <s v="2022-08-25T13:25:50Z"/>
        <s v="2022-08-25T12:16:44Z"/>
        <s v="2022-08-25T14:28:18Z"/>
        <s v="2022-08-25T09:27:43Z"/>
        <s v="2022-08-25T14:13:08Z"/>
        <s v="2022-08-25T12:37:17Z"/>
        <s v="2022-08-25T05:25:13Z"/>
        <s v="2022-08-25T14:00:58Z"/>
        <s v="2022-08-25T14:21:32Z"/>
        <s v="2022-08-25T14:32:05Z"/>
        <s v="2022-08-25T14:05:48Z"/>
        <s v="2022-08-25T14:18:42Z"/>
        <s v="2022-08-25T12:38:03Z"/>
        <s v="2022-08-25T13:37:43Z"/>
        <s v="2022-08-25T14:19:05Z"/>
        <s v="2022-08-25T13:10:06Z"/>
        <s v="2022-08-25T14:08:10Z"/>
        <s v="2022-08-25T12:47:21Z"/>
        <s v="2022-08-25T12:32:02Z"/>
        <s v="2022-08-25T13:36:31Z"/>
        <s v="2022-08-25T12:38:09Z"/>
        <s v="2022-08-25T14:26:17Z"/>
        <s v="2022-08-25T14:33:45Z"/>
        <s v="2022-08-25T14:32:45Z"/>
        <s v="2022-08-25T14:20:45Z"/>
        <s v="2022-08-25T13:31:21Z"/>
        <s v="2022-08-25T14:36:05Z"/>
        <s v="2022-08-25T14:37:36Z"/>
        <s v="2022-08-25T12:46:26Z"/>
        <s v="2022-08-25T13:13:13Z"/>
        <s v="2022-08-25T13:51:30Z"/>
        <s v="2022-08-25T06:54:02Z"/>
        <s v="2022-08-25T14:38:17Z"/>
        <s v="2022-08-25T14:22:11Z"/>
        <s v="2022-08-25T03:41:46Z"/>
        <s v="2022-08-25T14:13:22Z"/>
        <s v="2022-08-25T11:23:40Z"/>
        <s v="2022-08-25T14:37:39Z"/>
        <s v="2022-08-25T03:13:50Z"/>
        <s v="2022-08-25T14:08:19Z"/>
        <s v="2022-08-25T13:03:49Z"/>
        <s v="2022-08-25T13:10:22Z"/>
        <s v="2022-08-25T09:34:30Z"/>
        <s v="2022-08-25T13:04:40Z"/>
        <s v="2022-08-25T14:24:59Z"/>
        <s v="2022-08-25T11:21:09Z"/>
        <s v="2022-08-25T12:25:48Z"/>
        <s v="2022-08-25T08:29:46Z"/>
        <s v="2022-08-25T14:37:18Z"/>
        <s v="2022-08-25T14:26:21Z"/>
        <s v="2022-08-25T12:37:37Z"/>
        <s v="2022-08-25T14:30:07Z"/>
        <s v="2022-08-25T09:19:42Z"/>
        <s v="2022-08-25T14:28:41Z"/>
        <s v="2022-08-25T14:27:06Z"/>
        <s v="2022-08-25T11:47:51Z"/>
        <s v="2022-08-25T13:42:27Z"/>
        <s v="2022-08-25T13:37:03Z"/>
        <s v="2022-08-25T13:57:53Z"/>
        <s v="2022-08-25T14:35:44Z"/>
        <s v="2022-08-25T13:37:54Z"/>
        <s v="2022-08-25T14:23:56Z"/>
        <s v="2022-08-25T11:10:39Z"/>
        <s v="2022-08-25T12:59:31Z"/>
        <s v="2022-08-25T13:04:08Z"/>
        <s v="2022-08-25T13:20:28Z"/>
        <s v="2022-08-25T14:37:10Z"/>
        <s v="2022-08-25T14:32:25Z"/>
        <s v="2022-08-25T14:28:50Z"/>
        <s v="2022-08-25T14:19:14Z"/>
        <s v="2022-08-25T05:24:44Z"/>
        <s v="2022-08-25T12:39:24Z"/>
        <s v="2022-08-24T12:35:36Z"/>
        <s v="2022-08-24T03:19:52Z"/>
        <s v="2022-08-25T09:05:01Z"/>
        <s v="2022-08-25T13:21:26Z"/>
        <s v="2022-08-25T07:20:14Z"/>
        <s v="2022-08-25T14:12:38Z"/>
        <s v="2022-08-25T10:34:19Z"/>
        <s v="2022-08-25T13:01:21Z"/>
        <s v="2022-08-25T05:11:10Z"/>
        <s v="2022-08-25T14:20:39Z"/>
        <s v="2022-08-25T10:30:56Z"/>
        <s v="2022-08-25T11:32:22Z"/>
        <s v="2022-08-25T13:29:03Z"/>
        <s v="2022-08-25T12:37:24Z"/>
        <s v="2022-08-25T14:23:49Z"/>
        <s v="2022-08-25T11:42:06Z"/>
        <s v="2022-08-25T14:38:55Z"/>
        <s v="2022-08-25T13:43:27Z"/>
        <s v="2022-08-25T14:27:19Z"/>
        <s v="2022-08-25T11:20:45Z"/>
        <s v="2022-08-25T12:52:21Z"/>
        <s v="2022-08-25T11:55:07Z"/>
        <s v="2022-08-25T12:53:44Z"/>
        <s v="2022-08-25T14:36:34Z"/>
        <s v="2022-08-25T14:38:41Z"/>
        <s v="2022-08-25T13:36:28Z"/>
        <s v="2022-08-25T13:29:41Z"/>
        <s v="2022-08-25T14:29:19Z"/>
        <s v="2022-08-25T13:45:35Z"/>
        <s v="2022-08-25T10:13:54Z"/>
        <s v="2022-08-25T13:55:51Z"/>
        <s v="2022-08-25T14:35:21Z"/>
        <s v="2022-08-25T14:29:52Z"/>
        <s v="2022-08-25T05:55:31Z"/>
        <s v="2022-08-25T13:53:32Z"/>
        <s v="2022-08-25T07:53:53Z"/>
        <s v="2022-08-25T10:28:09Z"/>
        <s v="2022-08-25T13:38:28Z"/>
        <s v="2022-08-25T11:38:12Z"/>
        <s v="2022-08-25T08:35:23Z"/>
        <s v="2022-08-25T13:18:43Z"/>
        <s v="2022-08-25T14:23:41Z"/>
        <s v="2022-08-25T14:34:33Z"/>
        <s v="2022-08-25T13:30:06Z"/>
        <s v="2022-08-25T13:39:14Z"/>
        <s v="2022-08-25T09:20:06Z"/>
        <s v="2022-08-25T13:52:13Z"/>
        <s v="2022-08-25T08:56:21Z"/>
        <s v="2022-08-25T08:32:57Z"/>
        <s v="2022-08-25T12:15:07Z"/>
        <s v="2022-08-24T20:04:00Z"/>
        <s v="2022-08-25T13:35:49Z"/>
        <s v="2022-08-25T13:50:55Z"/>
        <s v="2022-08-25T08:01:00Z"/>
        <s v="2022-08-25T14:33:37Z"/>
        <s v="2022-08-25T10:33:10Z"/>
        <s v="2022-08-25T13:55:20Z"/>
        <s v="2022-08-25T12:42:32Z"/>
        <s v="2022-08-25T08:54:21Z"/>
        <s v="2022-08-25T10:14:18Z"/>
        <s v="2022-08-25T08:28:28Z"/>
        <s v="2022-08-25T12:37:50Z"/>
        <s v="2022-08-25T12:00:00Z"/>
        <s v="2022-08-25T09:51:47Z"/>
        <s v="2022-08-25T12:06:49Z"/>
        <s v="2022-08-25T14:13:45Z"/>
        <s v="2022-08-25T14:30:54Z"/>
        <s v="2022-08-25T11:25:29Z"/>
        <s v="2022-08-25T10:32:33Z"/>
        <s v="2022-08-25T06:57:36Z"/>
        <s v="2022-08-25T12:54:58Z"/>
        <s v="2022-08-25T11:02:41Z"/>
        <s v="2022-08-25T14:20:28Z"/>
        <s v="2022-08-25T14:22:40Z"/>
        <s v="2022-08-25T08:56:56Z"/>
        <s v="2022-08-25T10:59:45Z"/>
        <s v="2022-08-25T02:41:31Z"/>
        <s v="2022-08-24T07:28:23Z"/>
        <s v="2022-08-25T14:17:33Z"/>
        <s v="2022-08-25T14:03:37Z"/>
        <s v="2022-08-25T12:23:49Z"/>
        <s v="2022-08-25T02:13:37Z"/>
        <s v="2022-08-25T14:26:56Z"/>
        <s v="2022-08-25T12:38:23Z"/>
        <s v="2022-08-25T13:58:16Z"/>
        <s v="2022-08-25T14:35:39Z"/>
        <s v="2022-08-25T13:43:09Z"/>
        <s v="2022-08-25T11:10:14Z"/>
        <s v="2022-08-25T12:20:57Z"/>
        <s v="2022-08-25T14:27:44Z"/>
        <s v="2022-08-25T14:30:34Z"/>
        <s v="2022-08-25T05:24:43Z"/>
        <s v="2022-08-25T13:26:50Z"/>
        <s v="2022-08-25T12:10:01Z"/>
        <s v="2022-08-25T13:45:48Z"/>
        <s v="2022-08-25T01:24:55Z"/>
        <s v="2022-08-25T14:20:41Z"/>
        <s v="2022-08-25T09:31:57Z"/>
        <s v="2022-08-25T09:38:25Z"/>
        <s v="2022-08-24T17:20:09Z"/>
        <s v="2022-08-25T12:35:55Z"/>
        <s v="2022-08-25T06:16:38Z"/>
        <s v="2022-08-25T12:55:59Z"/>
        <s v="2022-08-25T07:33:28Z"/>
        <s v="2022-08-25T14:34:08Z"/>
        <s v="2022-08-25T07:20:53Z"/>
        <s v="2022-08-25T14:27:47Z"/>
        <s v="2022-08-25T13:32:12Z"/>
        <s v="2022-08-25T14:07:44Z"/>
        <s v="2022-08-25T14:16:36Z"/>
        <s v="2022-08-25T14:26:34Z"/>
        <s v="2022-08-25T14:13:55Z"/>
        <s v="2022-08-25T12:40:47Z"/>
        <s v="2022-08-25T13:07:51Z"/>
        <s v="2022-08-25T14:00:03Z"/>
        <s v="2022-08-25T09:59:16Z"/>
        <s v="2022-08-25T11:13:43Z"/>
        <s v="2022-08-24T19:12:56Z"/>
        <s v="2022-08-25T09:07:23Z"/>
        <s v="2022-08-25T08:06:24Z"/>
        <s v="2022-08-25T13:34:20Z"/>
        <s v="2022-08-25T12:26:00Z"/>
        <s v="2022-08-25T10:03:23Z"/>
        <s v="2022-08-25T09:58:54Z"/>
        <s v="2022-08-24T13:36:12Z"/>
        <s v="2022-08-25T11:10:33Z"/>
        <s v="2022-08-25T13:20:22Z"/>
        <s v="2022-08-25T13:53:48Z"/>
        <s v="2022-08-25T12:34:51Z"/>
        <s v="2022-08-25T13:47:05Z"/>
        <s v="2022-08-25T07:30:02Z"/>
        <s v="2022-08-25T13:05:58Z"/>
        <s v="2022-08-25T13:57:06Z"/>
        <s v="2022-08-25T14:31:02Z"/>
        <s v="2022-08-25T14:10:37Z"/>
        <s v="2022-08-25T13:19:42Z"/>
        <s v="2022-08-25T09:05:29Z"/>
        <s v="2022-08-25T09:29:50Z"/>
        <s v="2022-08-25T13:39:38Z"/>
        <s v="2022-08-25T13:59:08Z"/>
        <s v="2022-08-25T14:12:51Z"/>
        <s v="2022-08-25T10:38:42Z"/>
        <s v="2022-08-25T10:50:16Z"/>
        <s v="2022-08-25T13:46:52Z"/>
        <s v="2022-08-25T09:43:42Z"/>
        <s v="2022-08-25T11:25:55Z"/>
        <s v="2022-08-25T13:56:47Z"/>
        <s v="2022-08-25T14:21:13Z"/>
        <s v="2022-08-25T09:25:51Z"/>
        <s v="2022-08-25T03:15:51Z"/>
        <s v="2022-08-25T14:17:11Z"/>
        <s v="2022-08-25T13:22:33Z"/>
        <s v="2022-08-25T13:28:49Z"/>
        <s v="2022-08-25T11:53:09Z"/>
        <s v="2022-08-25T13:16:15Z"/>
        <s v="2022-08-25T14:14:44Z"/>
        <s v="2022-08-25T13:28:56Z"/>
        <s v="2022-08-25T14:06:30Z"/>
        <s v="2022-08-25T09:33:03Z"/>
        <s v="2022-08-25T14:10:18Z"/>
        <s v="2022-08-25T13:37:41Z"/>
        <s v="2022-08-25T07:49:28Z"/>
        <s v="2022-08-25T11:58:19Z"/>
        <s v="2022-08-25T14:28:13Z"/>
        <s v="2022-08-25T11:09:37Z"/>
        <s v="2022-08-25T11:29:06Z"/>
        <s v="2022-08-25T14:18:38Z"/>
        <s v="2022-08-25T14:14:00Z"/>
        <s v="2022-08-25T06:38:56Z"/>
        <s v="2022-08-25T05:40:02Z"/>
        <s v="2022-08-25T14:21:15Z"/>
        <s v="2022-08-25T06:06:04Z"/>
        <s v="2022-08-25T14:39:34Z"/>
        <s v="2022-08-25T12:50:19Z"/>
        <s v="2022-08-25T12:59:02Z"/>
        <s v="2022-08-25T09:52:23Z"/>
        <s v="2022-08-25T11:44:04Z"/>
        <s v="2022-08-25T10:50:18Z"/>
        <s v="2022-08-25T13:17:59Z"/>
        <s v="2022-08-25T14:23:54Z"/>
        <s v="2022-08-25T12:57:23Z"/>
        <s v="2022-08-25T11:08:36Z"/>
        <s v="2022-08-25T12:38:37Z"/>
        <s v="2022-08-25T13:21:55Z"/>
        <s v="2022-08-25T14:04:01Z"/>
        <s v="2022-08-25T10:35:07Z"/>
        <s v="2022-08-24T08:00:22Z"/>
        <s v="2022-08-25T14:38:38Z"/>
        <s v="2022-08-25T12:58:09Z"/>
        <s v="2022-08-25T13:45:32Z"/>
        <s v="2022-08-25T11:27:58Z"/>
        <s v="2022-08-25T14:04:25Z"/>
        <s v="2022-08-25T13:55:29Z"/>
        <s v="2022-08-25T12:55:25Z"/>
        <s v="2022-08-25T05:24:29Z"/>
        <s v="2022-08-25T13:29:32Z"/>
        <s v="2022-08-25T13:48:50Z"/>
        <s v="2022-08-25T11:10:08Z"/>
        <s v="2022-08-25T12:17:22Z"/>
        <s v="2022-08-25T13:41:49Z"/>
        <s v="2022-08-25T13:34:25Z"/>
        <s v="2022-08-25T11:34:23Z"/>
        <s v="2022-08-25T14:15:00Z"/>
        <s v="2022-08-25T11:05:05Z"/>
        <s v="2022-08-25T11:51:15Z"/>
        <s v="2022-08-25T12:36:15Z"/>
        <s v="2022-08-25T13:20:20Z"/>
        <s v="2022-08-25T12:52:01Z"/>
        <s v="2022-08-25T14:35:07Z"/>
        <s v="2022-08-25T14:15:17Z"/>
        <s v="2022-08-25T13:49:28Z"/>
        <s v="2022-08-25T13:59:07Z"/>
        <s v="2022-08-25T14:02:14Z"/>
        <s v="2022-08-25T13:38:31Z"/>
        <s v="2022-08-25T10:02:01Z"/>
        <s v="2022-08-25T13:05:57Z"/>
        <s v="2022-08-25T14:12:52Z"/>
        <s v="2022-08-25T12:37:38Z"/>
        <s v="2022-08-25T01:24:03Z"/>
        <s v="2022-08-25T14:21:12Z"/>
        <s v="2022-08-25T10:16:12Z"/>
        <s v="2022-08-25T14:35:03Z"/>
        <s v="2022-08-25T13:29:10Z"/>
        <s v="2022-08-25T10:33:53Z"/>
        <s v="2022-08-25T14:01:24Z"/>
        <s v="2022-08-25T13:43:21Z"/>
        <s v="2022-08-25T07:34:06Z"/>
        <s v="2022-08-25T08:37:52Z"/>
        <s v="2022-08-25T14:06:08Z"/>
        <s v="2022-08-25T01:20:04Z"/>
        <s v="2022-08-25T13:35:18Z"/>
        <s v="2022-08-25T10:05:01Z"/>
        <s v="2022-08-24T16:30:58Z"/>
        <s v="2022-08-25T13:12:48Z"/>
        <s v="2022-08-25T08:09:53Z"/>
        <s v="2022-08-25T14:18:55Z"/>
        <s v="2022-08-25T13:47:30Z"/>
        <s v="2022-08-25T13:25:17Z"/>
        <s v="2022-08-25T13:20:59Z"/>
        <s v="2022-08-25T14:31:22Z"/>
        <s v="2022-08-25T13:06:27Z"/>
        <s v="2022-08-25T13:45:16Z"/>
        <s v="2022-08-25T09:18:05Z"/>
        <s v="2022-08-25T11:29:00Z"/>
        <s v="2022-08-25T14:38:52Z"/>
        <s v="2022-08-25T13:45:12Z"/>
        <s v="2022-08-25T14:08:02Z"/>
        <s v="2022-08-25T14:33:33Z"/>
        <s v="2022-08-25T12:58:44Z"/>
        <s v="2022-08-25T12:32:39Z"/>
        <s v="2022-08-25T12:55:39Z"/>
        <s v="2022-08-25T12:47:59Z"/>
        <s v="2022-08-25T14:22:49Z"/>
        <s v="2022-08-25T08:57:14Z"/>
        <s v="2022-08-25T10:01:07Z"/>
        <s v="2022-08-25T14:12:06Z"/>
        <s v="2022-08-25T14:35:23Z"/>
        <s v="2022-08-25T12:38:08Z"/>
        <s v="2022-08-25T13:54:17Z"/>
        <s v="2022-08-25T13:30:13Z"/>
        <s v="2022-08-25T14:18:50Z"/>
        <s v="2022-08-25T08:10:06Z"/>
        <s v="2022-08-25T06:44:49Z"/>
        <s v="2022-08-25T11:05:43Z"/>
        <s v="2022-08-25T11:05:08Z"/>
        <s v="2022-08-25T13:17:33Z"/>
        <s v="2022-08-25T12:20:18Z"/>
        <s v="2022-08-25T14:23:34Z"/>
        <s v="2022-08-25T08:09:15Z"/>
        <s v="2022-08-25T00:12:46Z"/>
        <s v="2022-08-25T14:27:41Z"/>
        <s v="2022-08-25T13:30:21Z"/>
        <s v="2022-08-25T13:46:44Z"/>
        <s v="2022-08-25T10:42:51Z"/>
        <s v="2022-08-25T08:55:33Z"/>
        <s v="2022-08-25T02:06:42Z"/>
        <s v="2022-08-25T10:35:35Z"/>
        <s v="2022-08-25T13:49:54Z"/>
        <s v="2022-08-25T10:49:20Z"/>
        <s v="2022-08-25T10:59:39Z"/>
        <s v="2022-08-25T14:00:51Z"/>
        <s v="2022-08-24T17:32:30Z"/>
        <s v="2022-08-25T13:04:51Z"/>
        <s v="2022-08-22T21:45:01Z"/>
        <s v="2022-08-25T12:18:00Z"/>
        <s v="2022-08-25T14:22:45Z"/>
        <s v="2022-08-25T08:18:05Z"/>
        <s v="2022-08-25T13:15:55Z"/>
        <s v="2022-08-25T12:47:42Z"/>
        <s v="2022-08-25T13:22:49Z"/>
        <s v="2022-08-25T11:47:43Z"/>
        <s v="2022-08-25T13:32:03Z"/>
        <s v="2022-08-25T09:59:41Z"/>
        <s v="2022-08-25T09:01:18Z"/>
        <s v="2022-08-25T04:03:07Z"/>
        <s v="2022-08-25T13:28:43Z"/>
        <s v="2022-08-25T02:10:13Z"/>
        <s v="2022-08-25T13:16:33Z"/>
        <s v="2022-08-25T11:21:22Z"/>
        <s v="2022-08-25T13:33:48Z"/>
        <s v="2022-08-25T11:35:08Z"/>
        <s v="2022-08-25T14:30:59Z"/>
        <s v="2022-08-25T04:34:38Z"/>
        <s v="2022-08-25T12:24:50Z"/>
        <s v="2022-08-25T09:04:54Z"/>
        <s v="2022-08-25T03:27:42Z"/>
        <s v="2022-08-25T13:58:28Z"/>
        <s v="2022-08-25T14:23:21Z"/>
        <s v="2022-08-25T14:28:58Z"/>
        <s v="2022-08-25T14:32:43Z"/>
        <s v="2022-08-25T14:31:08Z"/>
        <s v="2022-08-25T13:39:13Z"/>
        <s v="2022-08-25T09:35:36Z"/>
        <s v="2022-08-25T06:26:09Z"/>
        <s v="2022-08-25T11:29:19Z"/>
        <s v="2022-08-25T12:53:38Z"/>
        <s v="2022-08-25T09:25:52Z"/>
        <s v="2022-08-25T14:15:01Z"/>
        <s v="2022-08-25T13:07:13Z"/>
        <s v="2022-08-25T09:09:07Z"/>
        <s v="2022-08-25T13:01:20Z"/>
        <s v="2022-08-25T09:57:53Z"/>
        <s v="2022-08-25T13:25:52Z"/>
        <s v="2022-08-25T14:13:27Z"/>
        <s v="2022-08-25T12:54:05Z"/>
        <s v="2022-08-25T13:36:12Z"/>
        <s v="2022-08-25T11:41:26Z"/>
        <s v="2022-08-25T04:34:46Z"/>
        <s v="2022-08-25T11:20:34Z"/>
        <s v="2022-08-25T14:36:18Z"/>
        <s v="2022-08-25T13:37:14Z"/>
        <s v="2022-08-25T12:43:27Z"/>
        <s v="2022-08-25T14:24:44Z"/>
        <s v="2022-08-25T12:55:20Z"/>
        <s v="2022-08-25T14:16:47Z"/>
        <s v="2022-08-25T09:38:59Z"/>
        <s v="2022-08-25T08:34:41Z"/>
        <s v="2022-08-25T03:06:33Z"/>
        <s v="2022-08-25T11:44:51Z"/>
        <s v="2022-08-25T11:21:52Z"/>
        <s v="2022-08-25T13:39:31Z"/>
        <s v="2022-08-25T08:27:53Z"/>
        <s v="2022-08-25T14:39:10Z"/>
        <s v="2022-08-25T06:18:02Z"/>
        <s v="2022-08-25T13:50:51Z"/>
        <s v="2022-08-25T14:37:21Z"/>
        <s v="2022-08-25T13:49:05Z"/>
        <s v="2022-08-24T21:52:01Z"/>
        <s v="2022-08-25T13:22:55Z"/>
        <s v="2022-08-25T06:42:21Z"/>
        <s v="2022-08-25T13:38:11Z"/>
        <s v="2022-08-25T12:27:18Z"/>
        <s v="2022-08-25T13:01:18Z"/>
        <s v="2022-08-24T16:21:55Z"/>
        <s v="2022-08-25T13:52:51Z"/>
        <s v="2022-08-25T13:19:14Z"/>
        <s v="2022-08-25T12:37:25Z"/>
        <s v="2022-08-25T13:22:07Z"/>
        <s v="2022-08-25T14:01:12Z"/>
        <s v="2022-08-25T14:03:07Z"/>
        <s v="2022-08-25T08:03:45Z"/>
        <s v="2022-08-25T14:38:24Z"/>
        <s v="2022-08-25T14:39:19Z"/>
        <s v="2022-08-25T14:34:17Z"/>
        <s v="2022-08-25T06:22:11Z"/>
        <s v="2022-08-25T06:39:13Z"/>
        <s v="2022-08-25T14:26:38Z"/>
        <s v="2022-08-25T14:14:33Z"/>
        <s v="2022-08-25T12:36:08Z"/>
        <s v="2022-08-25T14:18:58Z"/>
        <s v="2022-08-25T13:28:44Z"/>
        <s v="2022-08-25T14:36:48Z"/>
        <s v="2022-08-25T14:36:42Z"/>
        <s v="2022-08-25T11:33:41Z"/>
        <s v="2022-08-25T08:56:14Z"/>
        <s v="2022-08-25T11:34:11Z"/>
        <s v="2022-08-25T13:02:52Z"/>
        <s v="2022-08-25T14:10:51Z"/>
        <s v="2022-08-25T12:29:43Z"/>
        <s v="2022-08-25T11:51:06Z"/>
        <s v="2022-08-25T09:29:31Z"/>
        <s v="2022-08-25T13:42:32Z"/>
        <s v="2022-08-24T12:53:29Z"/>
        <s v="2022-08-25T06:41:06Z"/>
        <s v="2022-08-25T10:22:00Z"/>
        <s v="2022-08-25T12:38:20Z"/>
        <s v="2022-08-25T11:59:39Z"/>
        <s v="2022-08-25T14:23:40Z"/>
        <s v="2022-08-25T14:10:44Z"/>
        <s v="2022-08-25T13:22:57Z"/>
        <s v="2022-08-25T10:53:32Z"/>
        <s v="2022-08-25T06:35:20Z"/>
        <s v="2022-08-25T14:32:46Z"/>
        <s v="2022-08-25T13:04:26Z"/>
        <s v="2022-08-25T13:45:43Z"/>
        <s v="2022-08-25T07:49:46Z"/>
        <s v="2022-08-25T14:27:33Z"/>
        <s v="2022-08-25T07:10:30Z"/>
        <s v="2022-08-25T13:14:16Z"/>
        <s v="2022-08-25T12:35:56Z"/>
        <s v="2022-08-25T02:15:15Z"/>
        <s v="2022-08-25T09:48:47Z"/>
        <s v="2022-08-25T05:18:53Z"/>
        <s v="2022-08-24T16:15:24Z"/>
        <s v="2022-08-25T13:30:56Z"/>
        <s v="2022-08-25T11:59:00Z"/>
        <s v="2022-08-25T13:04:53Z"/>
        <s v="2022-08-25T13:52:58Z"/>
        <s v="2022-08-24T12:42:30Z"/>
        <s v="2022-08-25T02:43:09Z"/>
        <s v="2022-08-24T11:28:09Z"/>
        <s v="2022-08-25T12:36:58Z"/>
        <s v="2022-08-25T12:34:26Z"/>
        <s v="2022-08-25T14:04:29Z"/>
        <s v="2022-08-25T09:54:15Z"/>
        <s v="2022-08-25T14:28:16Z"/>
        <s v="2022-08-25T11:35:02Z"/>
        <s v="2022-08-25T14:07:38Z"/>
        <s v="2022-08-25T12:57:26Z"/>
        <s v="2022-08-25T12:08:01Z"/>
        <s v="2022-08-25T14:02:54Z"/>
        <s v="2022-08-25T12:49:49Z"/>
        <s v="2022-08-25T14:31:18Z"/>
        <s v="2022-08-25T10:55:48Z"/>
        <s v="2022-08-25T11:59:51Z"/>
        <s v="2022-08-24T01:53:35Z"/>
        <s v="2022-08-25T14:09:52Z"/>
        <s v="2022-08-25T09:42:56Z"/>
        <s v="2022-08-25T14:01:40Z"/>
        <s v="2022-08-25T12:11:56Z"/>
        <s v="2022-08-25T06:49:17Z"/>
        <s v="2022-08-25T10:51:19Z"/>
        <s v="2022-08-25T12:20:16Z"/>
        <s v="2022-08-25T13:41:10Z"/>
        <s v="2022-08-25T13:46:21Z"/>
        <s v="2022-08-25T12:25:55Z"/>
        <s v="2022-08-25T14:07:49Z"/>
        <s v="2022-08-25T14:14:43Z"/>
        <s v="2022-08-25T13:46:49Z"/>
        <s v="2022-08-25T12:43:49Z"/>
        <s v="2022-08-25T10:51:59Z"/>
        <s v="2022-08-25T13:45:23Z"/>
        <s v="2022-08-25T13:33:52Z"/>
        <s v="2022-08-25T14:38:31Z"/>
        <s v="2022-08-24T11:53:56Z"/>
        <s v="2022-08-25T10:14:21Z"/>
        <s v="2022-08-25T13:53:44Z"/>
        <s v="2022-08-25T09:26:46Z"/>
        <s v="2022-08-25T13:23:49Z"/>
        <s v="2022-08-25T09:05:24Z"/>
        <s v="2022-08-25T11:21:06Z"/>
        <s v="2022-08-25T07:19:09Z"/>
        <s v="2022-08-25T11:50:03Z"/>
        <s v="2022-08-25T14:23:28Z"/>
        <s v="2022-08-25T09:07:34Z"/>
        <s v="2022-08-25T09:38:14Z"/>
        <s v="2022-08-25T08:37:53Z"/>
        <s v="2022-08-25T13:56:05Z"/>
        <s v="2022-08-25T14:15:35Z"/>
        <s v="2022-08-24T18:24:25Z"/>
        <s v="2022-08-25T13:15:45Z"/>
        <s v="2022-08-25T06:50:49Z"/>
        <s v="2022-08-25T09:48:16Z"/>
        <s v="2022-08-25T12:24:17Z"/>
        <s v="2022-08-25T12:45:05Z"/>
        <s v="2022-08-25T14:18:45Z"/>
        <s v="2022-08-25T13:46:33Z"/>
        <s v="2022-08-25T14:26:16Z"/>
        <s v="2022-08-25T14:26:39Z"/>
        <s v="2022-08-25T10:20:59Z"/>
        <s v="2022-08-25T13:03:51Z"/>
        <s v="2022-08-25T13:00:55Z"/>
        <s v="2022-08-25T13:06:22Z"/>
        <s v="2022-08-25T12:37:33Z"/>
        <s v="2022-08-25T00:31:54Z"/>
        <s v="2022-08-25T10:09:18Z"/>
        <s v="2022-08-25T13:57:07Z"/>
        <s v="2022-08-25T10:07:16Z"/>
        <s v="2022-08-23T14:45:17Z"/>
        <s v="2022-08-25T11:51:57Z"/>
        <s v="2022-08-25T11:45:02Z"/>
        <s v="2022-08-25T11:18:52Z"/>
        <s v="2022-08-24T15:43:32Z"/>
        <s v="2022-08-25T11:48:18Z"/>
        <s v="2022-08-25T13:50:45Z"/>
        <s v="2022-08-25T13:42:29Z"/>
        <s v="2022-08-25T12:03:59Z"/>
        <s v="2022-08-25T13:36:27Z"/>
        <s v="2022-08-25T10:08:17Z"/>
        <s v="2022-08-24T18:23:33Z"/>
        <s v="2022-08-25T12:57:41Z"/>
        <s v="2022-08-25T13:48:58Z"/>
        <s v="2022-08-25T14:11:32Z"/>
        <s v="2022-08-25T13:46:28Z"/>
        <s v="2022-08-25T10:17:39Z"/>
        <s v="2022-08-25T12:19:57Z"/>
        <s v="2022-08-25T12:16:00Z"/>
        <s v="2022-08-25T06:00:43Z"/>
        <s v="2022-08-25T12:36:24Z"/>
        <s v="2022-08-25T14:23:38Z"/>
        <s v="2022-08-25T08:06:54Z"/>
        <s v="2022-08-25T11:13:26Z"/>
        <s v="2022-08-25T14:10:21Z"/>
        <s v="2022-08-25T11:55:35Z"/>
        <s v="2022-08-25T12:47:28Z"/>
        <s v="2022-08-25T14:16:07Z"/>
        <s v="2022-08-25T11:21:00Z"/>
        <s v="2022-08-25T12:17:56Z"/>
        <s v="2022-08-25T13:56:11Z"/>
        <s v="2022-08-25T07:34:45Z"/>
        <s v="2022-08-25T12:32:52Z"/>
        <s v="2022-08-25T03:27:38Z"/>
        <s v="2022-08-25T10:20:57Z"/>
        <s v="2022-08-25T14:34:55Z"/>
        <s v="2022-08-25T14:35:28Z"/>
        <s v="2022-08-25T10:20:34Z"/>
        <s v="2022-08-25T08:41:57Z"/>
        <s v="2022-08-25T13:52:30Z"/>
        <s v="2022-08-25T12:35:26Z"/>
        <s v="2022-08-25T13:37:22Z"/>
        <s v="2022-08-25T12:25:04Z"/>
        <s v="2022-08-25T14:17:37Z"/>
        <s v="2022-08-25T11:25:37Z"/>
        <s v="2022-08-25T08:29:50Z"/>
        <s v="2022-08-24T23:39:13Z"/>
        <s v="2022-08-25T06:17:47Z"/>
        <s v="2022-08-25T03:01:05Z"/>
        <s v="2022-08-25T10:17:28Z"/>
        <s v="2022-08-25T08:35:52Z"/>
        <s v="2022-08-25T14:00:20Z"/>
        <s v="2022-08-25T05:40:12Z"/>
        <s v="2022-08-25T13:59:11Z"/>
        <s v="2022-08-25T10:55:43Z"/>
        <s v="2022-08-25T12:05:22Z"/>
        <s v="2022-08-25T11:56:44Z"/>
        <s v="2022-08-25T13:23:29Z"/>
        <s v="2022-08-25T09:30:00Z"/>
        <s v="2022-08-25T14:34:25Z"/>
        <s v="2022-08-25T08:48:51Z"/>
        <s v="2022-08-24T20:33:42Z"/>
        <s v="2022-08-25T13:01:24Z"/>
        <s v="2022-08-25T13:07:32Z"/>
        <s v="2022-08-25T14:14:39Z"/>
        <s v="2022-08-25T10:43:43Z"/>
        <s v="2022-08-24T15:45:46Z"/>
        <s v="2022-08-25T08:46:00Z"/>
        <s v="2022-08-25T07:18:17Z"/>
        <s v="2022-08-25T13:40:24Z"/>
        <s v="2022-08-25T09:58:38Z"/>
        <s v="2022-08-25T06:30:36Z"/>
        <s v="2022-08-25T14:40:55Z"/>
        <s v="2022-08-25T13:04:31Z"/>
        <s v="2022-08-23T18:35:35Z"/>
        <s v="2022-08-25T09:04:19Z"/>
        <s v="2022-08-24T17:38:15Z"/>
        <s v="2022-08-24T06:39:33Z"/>
        <s v="2022-08-25T14:33:58Z"/>
        <s v="2022-08-25T13:50:10Z"/>
        <s v="2022-08-25T12:25:33Z"/>
        <s v="2022-08-25T13:48:21Z"/>
        <s v="2022-08-25T05:15:55Z"/>
        <s v="2022-08-25T13:06:08Z"/>
        <s v="2022-08-25T02:44:14Z"/>
        <s v="2022-08-25T13:55:14Z"/>
        <s v="2022-08-25T12:58:01Z"/>
        <s v="2022-08-25T01:55:45Z"/>
        <s v="2022-08-25T11:07:37Z"/>
        <s v="2022-08-25T09:49:45Z"/>
      </sharedItems>
    </cacheField>
    <cacheField name="releases.totalCount" numFmtId="0">
      <sharedItems containsSemiMixedTypes="0" containsString="0" containsNumber="1" containsInteger="1">
        <n v="0.0"/>
        <n v="241.0"/>
        <n v="99.0"/>
        <n v="172.0"/>
        <n v="79.0"/>
        <n v="77.0"/>
        <n v="341.0"/>
        <n v="1.0"/>
        <n v="210.0"/>
        <n v="1036.0"/>
        <n v="186.0"/>
        <n v="4.0"/>
        <n v="83.0"/>
        <n v="39.0"/>
        <n v="3.0"/>
        <n v="1530.0"/>
        <n v="550.0"/>
        <n v="303.0"/>
        <n v="80.0"/>
        <n v="190.0"/>
        <n v="135.0"/>
        <n v="161.0"/>
        <n v="196.0"/>
        <n v="500.0"/>
        <n v="370.0"/>
        <n v="116.0"/>
        <n v="49.0"/>
        <n v="66.0"/>
        <n v="22.0"/>
        <n v="24.0"/>
        <n v="1047.0"/>
        <n v="17.0"/>
        <n v="101.0"/>
        <n v="118.0"/>
        <n v="47.0"/>
        <n v="28.0"/>
        <n v="37.0"/>
        <n v="29.0"/>
        <n v="107.0"/>
        <n v="58.0"/>
        <n v="10.0"/>
        <n v="145.0"/>
        <n v="381.0"/>
        <n v="38.0"/>
        <n v="198.0"/>
        <n v="95.0"/>
        <n v="2.0"/>
        <n v="60.0"/>
        <n v="41.0"/>
        <n v="57.0"/>
        <n v="23.0"/>
        <n v="201.0"/>
        <n v="73.0"/>
        <n v="67.0"/>
        <n v="21.0"/>
        <n v="538.0"/>
        <n v="146.0"/>
        <n v="91.0"/>
        <n v="27.0"/>
        <n v="50.0"/>
        <n v="35.0"/>
        <n v="11.0"/>
        <n v="104.0"/>
        <n v="55.0"/>
        <n v="975.0"/>
        <n v="32.0"/>
        <n v="140.0"/>
        <n v="40.0"/>
        <n v="5.0"/>
        <n v="103.0"/>
        <n v="153.0"/>
        <n v="74.0"/>
        <n v="93.0"/>
        <n v="420.0"/>
        <n v="234.0"/>
        <n v="128.0"/>
        <n v="399.0"/>
        <n v="90.0"/>
        <n v="244.0"/>
        <n v="174.0"/>
        <n v="18.0"/>
        <n v="16.0"/>
        <n v="229.0"/>
        <n v="308.0"/>
        <n v="14.0"/>
        <n v="117.0"/>
        <n v="225.0"/>
        <n v="85.0"/>
        <n v="348.0"/>
        <n v="189.0"/>
        <n v="96.0"/>
        <n v="81.0"/>
        <n v="72.0"/>
        <n v="71.0"/>
        <n v="313.0"/>
        <n v="150.0"/>
        <n v="213.0"/>
        <n v="553.0"/>
        <n v="160.0"/>
        <n v="247.0"/>
        <n v="125.0"/>
        <n v="278.0"/>
        <n v="111.0"/>
        <n v="43.0"/>
        <n v="371.0"/>
        <n v="162.0"/>
        <n v="82.0"/>
        <n v="19.0"/>
        <n v="54.0"/>
        <n v="121.0"/>
        <n v="15.0"/>
        <n v="36.0"/>
        <n v="525.0"/>
        <n v="46.0"/>
        <n v="44.0"/>
        <n v="26.0"/>
        <n v="206.0"/>
        <n v="106.0"/>
        <n v="435.0"/>
        <n v="87.0"/>
        <n v="124.0"/>
        <n v="353.0"/>
        <n v="220.0"/>
        <n v="268.0"/>
        <n v="52.0"/>
        <n v="69.0"/>
        <n v="185.0"/>
        <n v="264.0"/>
        <n v="191.0"/>
        <n v="684.0"/>
        <n v="7.0"/>
        <n v="181.0"/>
        <n v="122.0"/>
        <n v="98.0"/>
        <n v="173.0"/>
        <n v="53.0"/>
        <n v="42.0"/>
        <n v="62.0"/>
        <n v="123.0"/>
        <n v="151.0"/>
        <n v="149.0"/>
        <n v="92.0"/>
        <n v="266.0"/>
        <n v="130.0"/>
        <n v="249.0"/>
        <n v="25.0"/>
        <n v="330.0"/>
        <n v="259.0"/>
        <n v="33.0"/>
        <n v="215.0"/>
        <n v="170.0"/>
        <n v="687.0"/>
        <n v="61.0"/>
        <n v="45.0"/>
        <n v="473.0"/>
        <n v="9.0"/>
        <n v="113.0"/>
        <n v="292.0"/>
        <n v="392.0"/>
        <n v="177.0"/>
        <n v="157.0"/>
        <n v="76.0"/>
        <n v="136.0"/>
        <n v="30.0"/>
        <n v="126.0"/>
        <n v="59.0"/>
        <n v="2352.0"/>
        <n v="112.0"/>
        <n v="75.0"/>
        <n v="158.0"/>
        <n v="8.0"/>
        <n v="51.0"/>
        <n v="548.0"/>
        <n v="48.0"/>
        <n v="375.0"/>
        <n v="34.0"/>
        <n v="176.0"/>
        <n v="166.0"/>
        <n v="56.0"/>
        <n v="412.0"/>
        <n v="228.0"/>
        <n v="12.0"/>
        <n v="6.0"/>
        <n v="70.0"/>
        <n v="78.0"/>
        <n v="522.0"/>
        <n v="159.0"/>
        <n v="163.0"/>
        <n v="110.0"/>
        <n v="382.0"/>
        <n v="138.0"/>
        <n v="84.0"/>
        <n v="231.0"/>
        <n v="134.0"/>
        <n v="100.0"/>
        <n v="322.0"/>
        <n v="119.0"/>
        <n v="195.0"/>
        <n v="227.0"/>
        <n v="193.0"/>
        <n v="312.0"/>
        <n v="127.0"/>
        <n v="270.0"/>
        <n v="235.0"/>
        <n v="240.0"/>
        <n v="13.0"/>
        <n v="31.0"/>
        <n v="446.0"/>
        <n v="339.0"/>
        <n v="458.0"/>
        <n v="152.0"/>
        <n v="686.0"/>
        <n v="115.0"/>
        <n v="256.0"/>
        <n v="1175.0"/>
        <n v="108.0"/>
        <n v="455.0"/>
        <n v="89.0"/>
        <n v="273.0"/>
        <n v="226.0"/>
        <n v="424.0"/>
        <n v="86.0"/>
        <n v="187.0"/>
        <n v="167.0"/>
        <n v="248.0"/>
        <n v="20.0"/>
        <n v="182.0"/>
        <n v="105.0"/>
        <n v="63.0"/>
        <n v="88.0"/>
        <n v="1031.0"/>
        <n v="889.0"/>
        <n v="583.0"/>
        <n v="169.0"/>
        <n v="120.0"/>
        <n v="772.0"/>
        <n v="65.0"/>
        <n v="143.0"/>
        <n v="317.0"/>
        <n v="94.0"/>
        <n v="68.0"/>
      </sharedItems>
    </cacheField>
    <cacheField name="primaryLanguage.name" numFmtId="0">
      <sharedItems>
        <s v="TypeScript"/>
        <s v="Não Informado"/>
        <s v="Python"/>
        <s v="JavaScript"/>
        <s v="C++"/>
        <s v="Shell"/>
        <s v="Dart"/>
        <s v="C"/>
        <s v="Java"/>
        <s v="Markdown"/>
        <s v="Go"/>
        <s v="Rust"/>
        <s v="Vue"/>
        <s v="C#"/>
        <s v="CSS"/>
        <s v="PHP"/>
        <s v="Clojure"/>
        <s v="HTML"/>
        <s v="Vim Script"/>
        <s v="Nunjucks"/>
        <s v="Dockerfile"/>
        <s v="Assembly"/>
        <s v="Ruby"/>
        <s v="Kotlin"/>
        <s v="Jupyter Notebook"/>
        <s v="Swift"/>
        <s v="Julia"/>
        <s v="SCSS"/>
        <s v="Makefile"/>
        <s v="Scala"/>
        <s v="Objective-C"/>
        <s v="TeX"/>
        <s v="Lua"/>
        <s v="Zig"/>
        <s v="V"/>
        <s v="Haskell"/>
        <s v="Roff"/>
        <s v="Jinja"/>
        <s v="Batchfile"/>
        <s v="Emacs Lisp"/>
        <s v="OCaml"/>
        <s v="Standard ML"/>
        <s v="Elixir"/>
        <s v="AsciiDoc"/>
        <s v="Objective-C++"/>
        <s v="CoffeeScript"/>
      </sharedItems>
    </cacheField>
    <cacheField name="pullRequests.totalCount" numFmtId="0">
      <sharedItems containsSemiMixedTypes="0" containsString="0" containsNumber="1" containsInteger="1">
        <n v="18107.0"/>
        <n v="1063.0"/>
        <n v="4492.0"/>
        <n v="315.0"/>
        <n v="591.0"/>
        <n v="517.0"/>
        <n v="1870.0"/>
        <n v="1100.0"/>
        <n v="193.0"/>
        <n v="8427.0"/>
        <n v="15001.0"/>
        <n v="91.0"/>
        <n v="7783.0"/>
        <n v="354.0"/>
        <n v="375.0"/>
        <n v="2706.0"/>
        <n v="267.0"/>
        <n v="26782.0"/>
        <n v="527.0"/>
        <n v="1522.0"/>
        <n v="9.0"/>
        <n v="11199.0"/>
        <n v="706.0"/>
        <n v="780.0"/>
        <n v="12.0"/>
        <n v="221.0"/>
        <n v="1571.0"/>
        <n v="207.0"/>
        <n v="304.0"/>
        <n v="646.0"/>
        <n v="15497.0"/>
        <n v="1.0"/>
        <n v="439.0"/>
        <n v="752.0"/>
        <n v="1908.0"/>
        <n v="1941.0"/>
        <n v="578.0"/>
        <n v="280.0"/>
        <n v="9741.0"/>
        <n v="52297.0"/>
        <n v="4690.0"/>
        <n v="2794.0"/>
        <n v="2820.0"/>
        <n v="6810.0"/>
        <n v="9937.0"/>
        <n v="12082.0"/>
        <n v="3183.0"/>
        <n v="9122.0"/>
        <n v="736.0"/>
        <n v="13977.0"/>
        <n v="2598.0"/>
        <n v="313.0"/>
        <n v="180.0"/>
        <n v="3383.0"/>
        <n v="848.0"/>
        <n v="122.0"/>
        <n v="176.0"/>
        <n v="2246.0"/>
        <n v="6814.0"/>
        <n v="474.0"/>
        <n v="148.0"/>
        <n v="63.0"/>
        <n v="42026.0"/>
        <n v="1444.0"/>
        <n v="192.0"/>
        <n v="59.0"/>
        <n v="7065.0"/>
        <n v="227.0"/>
        <n v="3340.0"/>
        <n v="7585.0"/>
        <n v="12095.0"/>
        <n v="123.0"/>
        <n v="74.0"/>
        <n v="17492.0"/>
        <n v="403.0"/>
        <n v="10688.0"/>
        <n v="100.0"/>
        <n v="41.0"/>
        <n v="851.0"/>
        <n v="2393.0"/>
        <n v="4180.0"/>
        <n v="365.0"/>
        <n v="172.0"/>
        <n v="86.0"/>
        <n v="1752.0"/>
        <n v="50661.0"/>
        <n v="0.0"/>
        <n v="654.0"/>
        <n v="38848.0"/>
        <n v="5688.0"/>
        <n v="1399.0"/>
        <n v="1482.0"/>
        <n v="789.0"/>
        <n v="391.0"/>
        <n v="1543.0"/>
        <n v="14.0"/>
        <n v="3928.0"/>
        <n v="84.0"/>
        <n v="5171.0"/>
        <n v="257.0"/>
        <n v="42.0"/>
        <n v="2718.0"/>
        <n v="1928.0"/>
        <n v="7766.0"/>
        <n v="149.0"/>
        <n v="49.0"/>
        <n v="553.0"/>
        <n v="408.0"/>
        <n v="347.0"/>
        <n v="2945.0"/>
        <n v="20.0"/>
        <n v="1132.0"/>
        <n v="2690.0"/>
        <n v="3878.0"/>
        <n v="744.0"/>
        <n v="25.0"/>
        <n v="422.0"/>
        <n v="278.0"/>
        <n v="4424.0"/>
        <n v="38563.0"/>
        <n v="35518.0"/>
        <n v="573.0"/>
        <n v="16940.0"/>
        <n v="302.0"/>
        <n v="640.0"/>
        <n v="3192.0"/>
        <n v="22939.0"/>
        <n v="668.0"/>
        <n v="1065.0"/>
        <n v="138.0"/>
        <n v="19975.0"/>
        <n v="9480.0"/>
        <n v="188.0"/>
        <n v="23113.0"/>
        <n v="764.0"/>
        <n v="351.0"/>
        <n v="4260.0"/>
        <n v="1174.0"/>
        <n v="234.0"/>
        <n v="175.0"/>
        <n v="2495.0"/>
        <n v="718.0"/>
        <n v="941.0"/>
        <n v="56.0"/>
        <n v="1455.0"/>
        <n v="1485.0"/>
        <n v="3712.0"/>
        <n v="9363.0"/>
        <n v="345.0"/>
        <n v="829.0"/>
        <n v="4995.0"/>
        <n v="28826.0"/>
        <n v="284.0"/>
        <n v="712.0"/>
        <n v="2440.0"/>
        <n v="329.0"/>
        <n v="513.0"/>
        <n v="1282.0"/>
        <n v="40.0"/>
        <n v="3101.0"/>
        <n v="2201.0"/>
        <n v="595.0"/>
        <n v="949.0"/>
        <n v="94.0"/>
        <n v="363.0"/>
        <n v="558.0"/>
        <n v="3021.0"/>
        <n v="385.0"/>
        <n v="1819.0"/>
        <n v="4811.0"/>
        <n v="6329.0"/>
        <n v="90.0"/>
        <n v="793.0"/>
        <n v="4288.0"/>
        <n v="3.0"/>
        <n v="2590.0"/>
        <n v="72.0"/>
        <n v="1626.0"/>
        <n v="2926.0"/>
        <n v="1990.0"/>
        <n v="124.0"/>
        <n v="1405.0"/>
        <n v="414.0"/>
        <n v="184.0"/>
        <n v="88.0"/>
        <n v="343.0"/>
        <n v="106.0"/>
        <n v="8435.0"/>
        <n v="194.0"/>
        <n v="1456.0"/>
        <n v="449.0"/>
        <n v="4882.0"/>
        <n v="2009.0"/>
        <n v="2356.0"/>
        <n v="6916.0"/>
        <n v="6802.0"/>
        <n v="1652.0"/>
        <n v="757.0"/>
        <n v="1443.0"/>
        <n v="290.0"/>
        <n v="3037.0"/>
        <n v="44157.0"/>
        <n v="372.0"/>
        <n v="336.0"/>
        <n v="2163.0"/>
        <n v="28.0"/>
        <n v="202.0"/>
        <n v="19396.0"/>
        <n v="4450.0"/>
        <n v="631.0"/>
        <n v="6544.0"/>
        <n v="4745.0"/>
        <n v="5838.0"/>
        <n v="19.0"/>
        <n v="495.0"/>
        <n v="3518.0"/>
        <n v="606.0"/>
        <n v="208.0"/>
        <n v="568.0"/>
        <n v="2520.0"/>
        <n v="5579.0"/>
        <n v="572.0"/>
        <n v="182.0"/>
        <n v="269.0"/>
        <n v="131.0"/>
        <n v="1472.0"/>
        <n v="6.0"/>
        <n v="557.0"/>
        <n v="2623.0"/>
        <n v="3397.0"/>
        <n v="189.0"/>
        <n v="530.0"/>
        <n v="1274.0"/>
        <n v="2423.0"/>
        <n v="841.0"/>
        <n v="4364.0"/>
        <n v="121.0"/>
        <n v="203.0"/>
        <n v="107.0"/>
        <n v="1004.0"/>
        <n v="129.0"/>
        <n v="55.0"/>
        <n v="52.0"/>
        <n v="923.0"/>
        <n v="15324.0"/>
        <n v="48.0"/>
        <n v="399.0"/>
        <n v="5935.0"/>
        <n v="4931.0"/>
        <n v="190.0"/>
        <n v="2500.0"/>
        <n v="930.0"/>
        <n v="16165.0"/>
        <n v="790.0"/>
        <n v="731.0"/>
        <n v="3066.0"/>
        <n v="19587.0"/>
        <n v="430.0"/>
        <n v="216.0"/>
        <n v="4.0"/>
        <n v="260.0"/>
        <n v="5615.0"/>
        <n v="108.0"/>
        <n v="47.0"/>
        <n v="7477.0"/>
        <n v="218.0"/>
        <n v="984.0"/>
        <n v="282.0"/>
        <n v="32.0"/>
        <n v="1323.0"/>
        <n v="1268.0"/>
        <n v="35.0"/>
        <n v="286.0"/>
        <n v="301.0"/>
        <n v="10173.0"/>
        <n v="1530.0"/>
        <n v="468.0"/>
        <n v="95.0"/>
        <n v="5.0"/>
        <n v="4333.0"/>
        <n v="305.0"/>
        <n v="223.0"/>
        <n v="676.0"/>
        <n v="115.0"/>
        <n v="709.0"/>
        <n v="614.0"/>
        <n v="70.0"/>
        <n v="8198.0"/>
        <n v="144.0"/>
        <n v="552.0"/>
        <n v="191.0"/>
        <n v="407.0"/>
        <n v="8952.0"/>
        <n v="16.0"/>
        <n v="1087.0"/>
        <n v="242.0"/>
        <n v="3345.0"/>
        <n v="437.0"/>
        <n v="17.0"/>
        <n v="904.0"/>
        <n v="1502.0"/>
        <n v="1354.0"/>
        <n v="261.0"/>
        <n v="395.0"/>
        <n v="110.0"/>
        <n v="69.0"/>
        <n v="498.0"/>
        <n v="507.0"/>
        <n v="445.0"/>
        <n v="1757.0"/>
        <n v="20221.0"/>
        <n v="655.0"/>
        <n v="2674.0"/>
        <n v="9952.0"/>
        <n v="912.0"/>
        <n v="28875.0"/>
        <n v="482.0"/>
        <n v="8669.0"/>
        <n v="1396.0"/>
        <n v="2.0"/>
        <n v="198.0"/>
        <n v="2249.0"/>
        <n v="140.0"/>
        <n v="1470.0"/>
        <n v="630.0"/>
        <n v="57.0"/>
        <n v="250.0"/>
        <n v="350.0"/>
        <n v="359.0"/>
        <n v="85.0"/>
        <n v="1103.0"/>
        <n v="18874.0"/>
        <n v="3502.0"/>
        <n v="109.0"/>
        <n v="281.0"/>
        <n v="119.0"/>
        <n v="629.0"/>
        <n v="743.0"/>
        <n v="412.0"/>
        <n v="201.0"/>
        <n v="1345.0"/>
        <n v="592.0"/>
        <n v="963.0"/>
        <n v="31.0"/>
        <n v="112.0"/>
        <n v="60.0"/>
        <n v="240.0"/>
        <n v="58.0"/>
        <n v="402.0"/>
        <n v="156.0"/>
        <n v="7396.0"/>
        <n v="1664.0"/>
        <n v="1579.0"/>
        <n v="13.0"/>
        <n v="10045.0"/>
        <n v="2764.0"/>
        <n v="252.0"/>
        <n v="1021.0"/>
        <n v="1434.0"/>
        <n v="931.0"/>
        <n v="11655.0"/>
        <n v="456.0"/>
        <n v="979.0"/>
        <n v="1256.0"/>
        <n v="549.0"/>
        <n v="11523.0"/>
        <n v="2950.0"/>
        <n v="197.0"/>
        <n v="3480.0"/>
        <n v="1689.0"/>
        <n v="96.0"/>
        <n v="1699.0"/>
        <n v="562.0"/>
        <n v="976.0"/>
        <n v="934.0"/>
        <n v="163.0"/>
        <n v="533.0"/>
        <n v="1143.0"/>
        <n v="167.0"/>
        <n v="715.0"/>
        <n v="1083.0"/>
        <n v="127.0"/>
        <n v="1902.0"/>
        <n v="672.0"/>
        <n v="967.0"/>
        <n v="1938.0"/>
        <n v="473.0"/>
        <n v="164.0"/>
        <n v="44.0"/>
        <n v="1964.0"/>
        <n v="865.0"/>
        <n v="62.0"/>
        <n v="1059.0"/>
        <n v="9328.0"/>
        <n v="2739.0"/>
        <n v="307.0"/>
        <n v="7.0"/>
        <n v="719.0"/>
        <n v="858.0"/>
        <n v="10.0"/>
        <n v="1158.0"/>
        <n v="2109.0"/>
        <n v="521.0"/>
        <n v="828.0"/>
        <n v="653.0"/>
        <n v="12791.0"/>
        <n v="478.0"/>
        <n v="236.0"/>
        <n v="2434.0"/>
        <n v="89.0"/>
        <n v="111.0"/>
        <n v="18858.0"/>
        <n v="222.0"/>
        <n v="206.0"/>
        <n v="1228.0"/>
        <n v="386.0"/>
        <n v="13083.0"/>
        <n v="22.0"/>
        <n v="2363.0"/>
        <n v="66.0"/>
        <n v="2543.0"/>
        <n v="569.0"/>
        <n v="608.0"/>
        <n v="585.0"/>
        <n v="71.0"/>
        <n v="3426.0"/>
        <n v="682.0"/>
        <n v="186.0"/>
        <n v="824.0"/>
        <n v="1224.0"/>
        <n v="15.0"/>
        <n v="168.0"/>
        <n v="153.0"/>
        <n v="1335.0"/>
        <n v="21.0"/>
        <n v="421.0"/>
        <n v="1066.0"/>
        <n v="104.0"/>
        <n v="500.0"/>
        <n v="6149.0"/>
        <n v="961.0"/>
        <n v="283.0"/>
        <n v="36.0"/>
        <n v="394.0"/>
        <n v="1991.0"/>
        <n v="346.0"/>
        <n v="434.0"/>
        <n v="1005.0"/>
        <n v="7599.0"/>
        <n v="958.0"/>
        <n v="650.0"/>
        <n v="6277.0"/>
        <n v="33.0"/>
        <n v="749.0"/>
        <n v="38201.0"/>
        <n v="146.0"/>
        <n v="494.0"/>
        <n v="688.0"/>
        <n v="1215.0"/>
        <n v="10075.0"/>
        <n v="574.0"/>
        <n v="786.0"/>
        <n v="7893.0"/>
        <n v="680.0"/>
        <n v="1594.0"/>
        <n v="4438.0"/>
        <n v="22956.0"/>
        <n v="3089.0"/>
        <n v="43915.0"/>
        <n v="960.0"/>
        <n v="699.0"/>
        <n v="214.0"/>
        <n v="23.0"/>
        <n v="418.0"/>
        <n v="717.0"/>
        <n v="51.0"/>
        <n v="159.0"/>
        <n v="2089.0"/>
        <n v="1912.0"/>
        <n v="139.0"/>
        <n v="5843.0"/>
        <n v="34.0"/>
        <n v="288.0"/>
        <n v="67.0"/>
        <n v="1049.0"/>
        <n v="293.0"/>
        <n v="820.0"/>
        <n v="2507.0"/>
        <n v="716.0"/>
        <n v="2076.0"/>
        <n v="1839.0"/>
        <n v="165.0"/>
        <n v="453.0"/>
        <n v="331.0"/>
        <n v="2922.0"/>
        <n v="9367.0"/>
        <n v="2721.0"/>
        <n v="526.0"/>
        <n v="357.0"/>
        <n v="396.0"/>
        <n v="39.0"/>
        <n v="2824.0"/>
        <n v="311.0"/>
        <n v="334.0"/>
        <n v="12241.0"/>
        <n v="2003.0"/>
        <n v="586.0"/>
        <n v="1591.0"/>
        <n v="2924.0"/>
        <n v="11.0"/>
        <n v="294.0"/>
        <n v="2417.0"/>
        <n v="612.0"/>
        <n v="580.0"/>
        <n v="82.0"/>
        <n v="642.0"/>
        <n v="102.0"/>
        <n v="1339.0"/>
        <n v="373.0"/>
        <n v="258.0"/>
        <n v="1179.0"/>
        <n v="114.0"/>
        <n v="158.0"/>
        <n v="3083.0"/>
        <n v="235.0"/>
        <n v="489.0"/>
        <n v="2227.0"/>
        <n v="528.0"/>
        <n v="5715.0"/>
        <n v="10133.0"/>
        <n v="225.0"/>
        <n v="364.0"/>
        <n v="247.0"/>
        <n v="268.0"/>
        <n v="1137.0"/>
        <n v="238.0"/>
        <n v="1578.0"/>
        <n v="2671.0"/>
        <n v="1523.0"/>
        <n v="1549.0"/>
        <n v="1596.0"/>
        <n v="652.0"/>
        <n v="750.0"/>
        <n v="622.0"/>
        <n v="817.0"/>
        <n v="8297.0"/>
        <n v="2230.0"/>
        <n v="748.0"/>
        <n v="145.0"/>
        <n v="1674.0"/>
        <n v="3316.0"/>
        <n v="1520.0"/>
        <n v="29.0"/>
        <n v="1379.0"/>
        <n v="483.0"/>
        <n v="183.0"/>
        <n v="1275.0"/>
        <n v="536.0"/>
        <n v="656.0"/>
        <n v="162.0"/>
        <n v="249.0"/>
        <n v="285.0"/>
        <n v="65.0"/>
        <n v="1490.0"/>
        <n v="98.0"/>
        <n v="309.0"/>
        <n v="882.0"/>
        <n v="270.0"/>
        <n v="663.0"/>
        <n v="87.0"/>
        <n v="977.0"/>
        <n v="8.0"/>
        <n v="465.0"/>
        <n v="296.0"/>
        <n v="3194.0"/>
        <n v="1071.0"/>
        <n v="576.0"/>
        <n v="160.0"/>
        <n v="155.0"/>
        <n v="13688.0"/>
        <n v="43.0"/>
        <n v="2662.0"/>
        <n v="1159.0"/>
        <n v="228.0"/>
        <n v="990.0"/>
        <n v="2923.0"/>
        <n v="215.0"/>
        <n v="53.0"/>
        <n v="14177.0"/>
        <n v="566.0"/>
        <n v="476.0"/>
        <n v="502.0"/>
        <n v="376.0"/>
        <n v="9684.0"/>
        <n v="4878.0"/>
        <n v="696.0"/>
        <n v="9087.0"/>
        <n v="438.0"/>
        <n v="321.0"/>
        <n v="230.0"/>
        <n v="397.0"/>
        <n v="38.0"/>
        <n v="5207.0"/>
        <n v="126.0"/>
        <n v="1135.0"/>
        <n v="134.0"/>
        <n v="1216.0"/>
        <n v="2512.0"/>
        <n v="245.0"/>
        <n v="1817.0"/>
        <n v="5434.0"/>
        <n v="501.0"/>
        <n v="607.0"/>
        <n v="50.0"/>
        <n v="10512.0"/>
        <n v="1955.0"/>
        <n v="466.0"/>
        <n v="768.0"/>
        <n v="277.0"/>
        <n v="849.0"/>
        <n v="420.0"/>
        <n v="3513.0"/>
        <n v="6087.0"/>
        <n v="512.0"/>
        <n v="1281.0"/>
        <n v="161.0"/>
        <n v="5552.0"/>
        <n v="692.0"/>
        <n v="297.0"/>
        <n v="137.0"/>
        <n v="254.0"/>
        <n v="266.0"/>
        <n v="171.0"/>
        <n v="555.0"/>
        <n v="2128.0"/>
        <n v="64.0"/>
        <n v="3332.0"/>
        <n v="3536.0"/>
        <n v="1289.0"/>
        <n v="46.0"/>
        <n v="26.0"/>
        <n v="45.0"/>
        <n v="12293.0"/>
        <n v="435.0"/>
        <n v="1089.0"/>
        <n v="80.0"/>
        <n v="3542.0"/>
        <n v="4188.0"/>
        <n v="1338.0"/>
        <n v="3729.0"/>
        <n v="649.0"/>
        <n v="8821.0"/>
        <n v="130.0"/>
        <n v="771.0"/>
        <n v="548.0"/>
        <n v="1348.0"/>
        <n v="241.0"/>
        <n v="5991.0"/>
        <n v="677.0"/>
        <n v="1811.0"/>
        <n v="993.0"/>
        <n v="687.0"/>
        <n v="27.0"/>
        <n v="647.0"/>
        <n v="11182.0"/>
        <n v="932.0"/>
        <n v="5690.0"/>
        <n v="15956.0"/>
        <n v="1203.0"/>
        <n v="7375.0"/>
        <n v="18.0"/>
        <n v="3035.0"/>
        <n v="276.0"/>
        <n v="520.0"/>
        <n v="6528.0"/>
        <n v="577.0"/>
        <n v="1032.0"/>
        <n v="1457.0"/>
        <n v="664.0"/>
        <n v="946.0"/>
        <n v="11450.0"/>
        <n v="971.0"/>
        <n v="1436.0"/>
        <n v="2936.0"/>
        <n v="101509.0"/>
        <n v="5238.0"/>
        <n v="179.0"/>
        <n v="2846.0"/>
        <n v="246.0"/>
        <n v="251.0"/>
        <n v="271.0"/>
        <n v="2274.0"/>
        <n v="3980.0"/>
        <n v="1966.0"/>
        <n v="982.0"/>
        <n v="1385.0"/>
        <n v="12263.0"/>
        <n v="1329.0"/>
        <n v="3753.0"/>
        <n v="589.0"/>
        <n v="93.0"/>
        <n v="3590.0"/>
        <n v="2193.0"/>
        <n v="120.0"/>
        <n v="211.0"/>
        <n v="338.0"/>
        <n v="1531.0"/>
        <n v="1324.0"/>
        <n v="1294.0"/>
        <n v="2187.0"/>
        <n v="379.0"/>
        <n v="624.0"/>
        <n v="327.0"/>
        <n v="2221.0"/>
        <n v="244.0"/>
        <n v="279.0"/>
        <n v="118.0"/>
        <n v="22199.0"/>
        <n v="125.0"/>
        <n v="361.0"/>
        <n v="1050.0"/>
        <n v="2357.0"/>
        <n v="1532.0"/>
        <n v="1828.0"/>
        <n v="762.0"/>
        <n v="5567.0"/>
        <n v="157.0"/>
        <n v="2098.0"/>
        <n v="1279.0"/>
        <n v="314.0"/>
        <n v="4299.0"/>
        <n v="541.0"/>
      </sharedItems>
    </cacheField>
    <cacheField name="totalIssues.totalCount" numFmtId="0">
      <sharedItems containsSemiMixedTypes="0" containsString="0" containsNumber="1" containsInteger="1">
        <n v="16273.0"/>
        <n v="0.0"/>
        <n v="730.0"/>
        <n v="343.0"/>
        <n v="311.0"/>
        <n v="635.0"/>
        <n v="398.0"/>
        <n v="9855.0"/>
        <n v="231.0"/>
        <n v="11666.0"/>
        <n v="35416.0"/>
        <n v="517.0"/>
        <n v="21457.0"/>
        <n v="902.0"/>
        <n v="552.0"/>
        <n v="4244.0"/>
        <n v="292.0"/>
        <n v="72255.0"/>
        <n v="1057.0"/>
        <n v="381.0"/>
        <n v="140350.0"/>
        <n v="815.0"/>
        <n v="1183.0"/>
        <n v="572.0"/>
        <n v="575.0"/>
        <n v="25145.0"/>
        <n v="483.0"/>
        <n v="209.0"/>
        <n v="23080.0"/>
        <n v="17356.0"/>
        <n v="51635.0"/>
        <n v="2111.0"/>
        <n v="277.0"/>
        <n v="712.0"/>
        <n v="7830.0"/>
        <n v="3752.0"/>
        <n v="13410.0"/>
        <n v="41443.0"/>
        <n v="14913.0"/>
        <n v="464.0"/>
        <n v="10363.0"/>
        <n v="6332.0"/>
        <n v="11272.0"/>
        <n v="34566.0"/>
        <n v="24274.0"/>
        <n v="24504.0"/>
        <n v="298.0"/>
        <n v="16256.0"/>
        <n v="5487.0"/>
        <n v="3446.0"/>
        <n v="58.0"/>
        <n v="16224.0"/>
        <n v="699.0"/>
        <n v="57.0"/>
        <n v="825.0"/>
        <n v="6957.0"/>
        <n v="9307.0"/>
        <n v="645.0"/>
        <n v="129.0"/>
        <n v="56.0"/>
        <n v="44871.0"/>
        <n v="18485.0"/>
        <n v="3109.0"/>
        <n v="9874.0"/>
        <n v="505.0"/>
        <n v="205.0"/>
        <n v="7039.0"/>
        <n v="1223.0"/>
        <n v="133.0"/>
        <n v="21511.0"/>
        <n v="173.0"/>
        <n v="9058.0"/>
        <n v="1014.0"/>
        <n v="26544.0"/>
        <n v="1886.0"/>
        <n v="4542.0"/>
        <n v="9172.0"/>
        <n v="2156.0"/>
        <n v="136.0"/>
        <n v="42.0"/>
        <n v="6093.0"/>
        <n v="30570.0"/>
        <n v="435.0"/>
        <n v="1789.0"/>
        <n v="12780.0"/>
        <n v="6937.0"/>
        <n v="2384.0"/>
        <n v="2477.0"/>
        <n v="9040.0"/>
        <n v="2461.0"/>
        <n v="1963.0"/>
        <n v="2267.0"/>
        <n v="17044.0"/>
        <n v="107.0"/>
        <n v="27894.0"/>
        <n v="3693.0"/>
        <n v="49.0"/>
        <n v="6527.0"/>
        <n v="8510.0"/>
        <n v="78.0"/>
        <n v="66.0"/>
        <n v="2192.0"/>
        <n v="3235.0"/>
        <n v="5596.0"/>
        <n v="593.0"/>
        <n v="2983.0"/>
        <n v="11421.0"/>
        <n v="5125.0"/>
        <n v="75.0"/>
        <n v="128.0"/>
        <n v="2804.0"/>
        <n v="2794.0"/>
        <n v="31373.0"/>
        <n v="30679.0"/>
        <n v="4029.0"/>
        <n v="4344.0"/>
        <n v="13584.0"/>
        <n v="374.0"/>
        <n v="1274.0"/>
        <n v="17178.0"/>
        <n v="35109.0"/>
        <n v="326.0"/>
        <n v="16027.0"/>
        <n v="15791.0"/>
        <n v="9585.0"/>
        <n v="102.0"/>
        <n v="25587.0"/>
        <n v="88.0"/>
        <n v="6186.0"/>
        <n v="4317.0"/>
        <n v="1972.0"/>
        <n v="240.0"/>
        <n v="30.0"/>
        <n v="1699.0"/>
        <n v="22361.0"/>
        <n v="179.0"/>
        <n v="3050.0"/>
        <n v="490.0"/>
        <n v="3620.0"/>
        <n v="6530.0"/>
        <n v="20241.0"/>
        <n v="8398.0"/>
        <n v="77.0"/>
        <n v="673.0"/>
        <n v="6785.0"/>
        <n v="60498.0"/>
        <n v="198.0"/>
        <n v="3989.0"/>
        <n v="4494.0"/>
        <n v="530.0"/>
        <n v="2185.0"/>
        <n v="986.0"/>
        <n v="2391.0"/>
        <n v="1151.0"/>
        <n v="3096.0"/>
        <n v="95.0"/>
        <n v="4944.0"/>
        <n v="2421.0"/>
        <n v="865.0"/>
        <n v="1230.0"/>
        <n v="3382.0"/>
        <n v="4580.0"/>
        <n v="760.0"/>
        <n v="73.0"/>
        <n v="2678.0"/>
        <n v="4692.0"/>
        <n v="5651.0"/>
        <n v="97.0"/>
        <n v="80.0"/>
        <n v="5730.0"/>
        <n v="3824.0"/>
        <n v="101.0"/>
        <n v="652.0"/>
        <n v="8765.0"/>
        <n v="87.0"/>
        <n v="3699.0"/>
        <n v="50.0"/>
        <n v="83.0"/>
        <n v="3084.0"/>
        <n v="64.0"/>
        <n v="230.0"/>
        <n v="774.0"/>
        <n v="81.0"/>
        <n v="6595.0"/>
        <n v="2696.0"/>
        <n v="434.0"/>
        <n v="4362.0"/>
        <n v="197.0"/>
        <n v="8232.0"/>
        <n v="4787.0"/>
        <n v="6788.0"/>
        <n v="5896.0"/>
        <n v="6396.0"/>
        <n v="6412.0"/>
        <n v="289.0"/>
        <n v="4923.0"/>
        <n v="4222.0"/>
        <n v="2329.0"/>
        <n v="7763.0"/>
        <n v="2596.0"/>
        <n v="449.0"/>
        <n v="2463.0"/>
        <n v="21836.0"/>
        <n v="11197.0"/>
        <n v="1161.0"/>
        <n v="951.0"/>
        <n v="6992.0"/>
        <n v="8444.0"/>
        <n v="70.0"/>
        <n v="5076.0"/>
        <n v="886.0"/>
        <n v="7101.0"/>
        <n v="3554.0"/>
        <n v="6601.0"/>
        <n v="2163.0"/>
        <n v="599.0"/>
        <n v="91.0"/>
        <n v="5207.0"/>
        <n v="1417.0"/>
        <n v="2551.0"/>
        <n v="2641.0"/>
        <n v="1409.0"/>
        <n v="5389.0"/>
        <n v="4583.0"/>
        <n v="3537.0"/>
        <n v="4897.0"/>
        <n v="2574.0"/>
        <n v="2344.0"/>
        <n v="162.0"/>
        <n v="3486.0"/>
        <n v="458.0"/>
        <n v="1091.0"/>
        <n v="51.0"/>
        <n v="585.0"/>
        <n v="297.0"/>
        <n v="1968.0"/>
        <n v="1245.0"/>
        <n v="906.0"/>
        <n v="169.0"/>
        <n v="559.0"/>
        <n v="12221.0"/>
        <n v="1751.0"/>
        <n v="161.0"/>
        <n v="4829.0"/>
        <n v="4882.0"/>
        <n v="339.0"/>
        <n v="2371.0"/>
        <n v="10353.0"/>
        <n v="3800.0"/>
        <n v="1011.0"/>
        <n v="11082.0"/>
        <n v="22901.0"/>
        <n v="661.0"/>
        <n v="3083.0"/>
        <n v="10373.0"/>
        <n v="112.0"/>
        <n v="52.0"/>
        <n v="6130.0"/>
        <n v="6380.0"/>
        <n v="591.0"/>
        <n v="1179.0"/>
        <n v="4536.0"/>
        <n v="748.0"/>
        <n v="90.0"/>
        <n v="45.0"/>
        <n v="3924.0"/>
        <n v="3308.0"/>
        <n v="18916.0"/>
        <n v="4817.0"/>
        <n v="103.0"/>
        <n v="264.0"/>
        <n v="9687.0"/>
        <n v="603.0"/>
        <n v="3073.0"/>
        <n v="2278.0"/>
        <n v="260.0"/>
        <n v="3137.0"/>
        <n v="113.0"/>
        <n v="3623.0"/>
        <n v="1037.0"/>
        <n v="1463.0"/>
        <n v="870.0"/>
        <n v="2155.0"/>
        <n v="4142.0"/>
        <n v="14501.0"/>
        <n v="4781.0"/>
        <n v="2406.0"/>
        <n v="3920.0"/>
        <n v="1369.0"/>
        <n v="371.0"/>
        <n v="933.0"/>
        <n v="8638.0"/>
        <n v="3950.0"/>
        <n v="1548.0"/>
        <n v="692.0"/>
        <n v="1869.0"/>
        <n v="597.0"/>
        <n v="364.0"/>
        <n v="222.0"/>
        <n v="4535.0"/>
        <n v="1209.0"/>
        <n v="3289.0"/>
        <n v="12507.0"/>
        <n v="2172.0"/>
        <n v="2019.0"/>
        <n v="1113.0"/>
        <n v="9468.0"/>
        <n v="5414.0"/>
        <n v="167.0"/>
        <n v="617.0"/>
        <n v="4727.0"/>
        <n v="3451.0"/>
        <n v="8902.0"/>
        <n v="296.0"/>
        <n v="499.0"/>
        <n v="2030.0"/>
        <n v="2282.0"/>
        <n v="1135.0"/>
        <n v="1238.0"/>
        <n v="13052.0"/>
        <n v="38.0"/>
        <n v="1468.0"/>
        <n v="16265.0"/>
        <n v="2349.0"/>
        <n v="238.0"/>
        <n v="587.0"/>
        <n v="3307.0"/>
        <n v="608.0"/>
        <n v="2096.0"/>
        <n v="3116.0"/>
        <n v="2562.0"/>
        <n v="122.0"/>
        <n v="2909.0"/>
        <n v="5213.0"/>
        <n v="3326.0"/>
        <n v="674.0"/>
        <n v="3319.0"/>
        <n v="1824.0"/>
        <n v="1287.0"/>
        <n v="1539.0"/>
        <n v="684.0"/>
        <n v="1568.0"/>
        <n v="60.0"/>
        <n v="6158.0"/>
        <n v="6376.0"/>
        <n v="212.0"/>
        <n v="1167.0"/>
        <n v="6904.0"/>
        <n v="5889.0"/>
        <n v="2231.0"/>
        <n v="1470.0"/>
        <n v="2917.0"/>
        <n v="1340.0"/>
        <n v="11623.0"/>
        <n v="1017.0"/>
        <n v="1016.0"/>
        <n v="5373.0"/>
        <n v="4619.0"/>
        <n v="26566.0"/>
        <n v="8148.0"/>
        <n v="62.0"/>
        <n v="1109.0"/>
        <n v="5032.0"/>
        <n v="6963.0"/>
        <n v="807.0"/>
        <n v="3640.0"/>
        <n v="4742.0"/>
        <n v="2020.0"/>
        <n v="1065.0"/>
        <n v="947.0"/>
        <n v="402.0"/>
        <n v="3207.0"/>
        <n v="1880.0"/>
        <n v="4429.0"/>
        <n v="997.0"/>
        <n v="2892.0"/>
        <n v="1497.0"/>
        <n v="1643.0"/>
        <n v="2750.0"/>
        <n v="924.0"/>
        <n v="6520.0"/>
        <n v="53.0"/>
        <n v="372.0"/>
        <n v="1551.0"/>
        <n v="1258.0"/>
        <n v="794.0"/>
        <n v="109.0"/>
        <n v="5243.0"/>
        <n v="13143.0"/>
        <n v="746.0"/>
        <n v="105.0"/>
        <n v="761.0"/>
        <n v="2395.0"/>
        <n v="300.0"/>
        <n v="2484.0"/>
        <n v="5030.0"/>
        <n v="1493.0"/>
        <n v="1436.0"/>
        <n v="69.0"/>
        <n v="1240.0"/>
        <n v="16362.0"/>
        <n v="1102.0"/>
        <n v="3516.0"/>
        <n v="3040.0"/>
        <n v="484.0"/>
        <n v="851.0"/>
        <n v="1181.0"/>
        <n v="17631.0"/>
        <n v="503.0"/>
        <n v="1983.0"/>
        <n v="2634.0"/>
        <n v="17034.0"/>
        <n v="1651.0"/>
        <n v="37.0"/>
        <n v="2857.0"/>
        <n v="5998.0"/>
        <n v="713.0"/>
        <n v="6403.0"/>
        <n v="7156.0"/>
        <n v="175.0"/>
        <n v="210.0"/>
        <n v="89.0"/>
        <n v="1525.0"/>
        <n v="1344.0"/>
        <n v="9811.0"/>
        <n v="884.0"/>
        <n v="2394.0"/>
        <n v="570.0"/>
        <n v="1404.0"/>
        <n v="415.0"/>
        <n v="654.0"/>
        <n v="144.0"/>
        <n v="588.0"/>
        <n v="3436.0"/>
        <n v="104.0"/>
        <n v="383.0"/>
        <n v="362.0"/>
        <n v="275.0"/>
        <n v="21.0"/>
        <n v="549.0"/>
        <n v="63.0"/>
        <n v="1499.0"/>
        <n v="15300.0"/>
        <n v="2808.0"/>
        <n v="3644.0"/>
        <n v="27.0"/>
        <n v="357.0"/>
        <n v="4033.0"/>
        <n v="1862.0"/>
        <n v="2489.0"/>
        <n v="1175.0"/>
        <n v="6355.0"/>
        <n v="1826.0"/>
        <n v="13826.0"/>
        <n v="1762.0"/>
        <n v="2228.0"/>
        <n v="7415.0"/>
        <n v="892.0"/>
        <n v="43881.0"/>
        <n v="601.0"/>
        <n v="1641.0"/>
        <n v="4710.0"/>
        <n v="1092.0"/>
        <n v="5051.0"/>
        <n v="916.0"/>
        <n v="4102.0"/>
        <n v="1472.0"/>
        <n v="4907.0"/>
        <n v="262.0"/>
        <n v="76.0"/>
        <n v="2883.0"/>
        <n v="8375.0"/>
        <n v="24.0"/>
        <n v="12717.0"/>
        <n v="6862.0"/>
        <n v="448.0"/>
        <n v="3321.0"/>
        <n v="2254.0"/>
        <n v="71.0"/>
        <n v="3408.0"/>
        <n v="2323.0"/>
        <n v="2361.0"/>
        <n v="1878.0"/>
        <n v="2840.0"/>
        <n v="1807.0"/>
        <n v="551.0"/>
        <n v="236.0"/>
        <n v="246.0"/>
        <n v="843.0"/>
        <n v="1507.0"/>
        <n v="9645.0"/>
        <n v="3420.0"/>
        <n v="7814.0"/>
        <n v="146.0"/>
        <n v="47.0"/>
        <n v="4743.0"/>
        <n v="8315.0"/>
        <n v="1557.0"/>
        <n v="2128.0"/>
        <n v="1455.0"/>
        <n v="644.0"/>
        <n v="9177.0"/>
        <n v="3124.0"/>
        <n v="718.0"/>
        <n v="5122.0"/>
        <n v="195.0"/>
        <n v="1134.0"/>
        <n v="40.0"/>
        <n v="568.0"/>
        <n v="424.0"/>
        <n v="5201.0"/>
        <n v="811.0"/>
        <n v="163.0"/>
        <n v="12542.0"/>
        <n v="3756.0"/>
        <n v="5569.0"/>
        <n v="3765.0"/>
        <n v="26.0"/>
        <n v="1101.0"/>
        <n v="1034.0"/>
        <n v="1703.0"/>
        <n v="646.0"/>
        <n v="1444.0"/>
        <n v="6664.0"/>
        <n v="1929.0"/>
        <n v="6085.0"/>
        <n v="630.0"/>
        <n v="115.0"/>
        <n v="1931.0"/>
        <n v="395.0"/>
        <n v="2041.0"/>
        <n v="215.0"/>
        <n v="1280.0"/>
        <n v="155.0"/>
        <n v="32.0"/>
        <n v="577.0"/>
        <n v="1809.0"/>
        <n v="2635.0"/>
        <n v="909.0"/>
        <n v="1471.0"/>
        <n v="778.0"/>
        <n v="1055.0"/>
        <n v="14528.0"/>
        <n v="41.0"/>
        <n v="516.0"/>
        <n v="3737.0"/>
        <n v="710.0"/>
        <n v="1033.0"/>
        <n v="2304.0"/>
        <n v="641.0"/>
        <n v="4510.0"/>
        <n v="2989.0"/>
        <n v="407.0"/>
        <n v="3392.0"/>
        <n v="1072.0"/>
        <n v="954.0"/>
        <n v="46.0"/>
        <n v="13316.0"/>
        <n v="257.0"/>
        <n v="1021.0"/>
        <n v="1918.0"/>
        <n v="1140.0"/>
        <n v="1462.0"/>
        <n v="867.0"/>
        <n v="844.0"/>
        <n v="1978.0"/>
        <n v="9734.0"/>
        <n v="2674.0"/>
        <n v="2783.0"/>
        <n v="6898.0"/>
        <n v="612.0"/>
        <n v="4107.0"/>
        <n v="918.0"/>
        <n v="114.0"/>
        <n v="7663.0"/>
        <n v="1000.0"/>
        <n v="1150.0"/>
        <n v="4894.0"/>
        <n v="1892.0"/>
        <n v="1178.0"/>
        <n v="185.0"/>
        <n v="5506.0"/>
        <n v="6615.0"/>
        <n v="8231.0"/>
        <n v="466.0"/>
        <n v="847.0"/>
        <n v="2569.0"/>
        <n v="98.0"/>
        <n v="739.0"/>
        <n v="1567.0"/>
        <n v="6321.0"/>
        <n v="1452.0"/>
        <n v="6598.0"/>
        <n v="428.0"/>
        <n v="672.0"/>
        <n v="741.0"/>
        <n v="14.0"/>
        <n v="1726.0"/>
        <n v="3296.0"/>
        <n v="2593.0"/>
        <n v="702.0"/>
        <n v="2849.0"/>
        <n v="580.0"/>
        <n v="2367.0"/>
        <n v="1764.0"/>
        <n v="790.0"/>
        <n v="1508.0"/>
        <n v="269.0"/>
        <n v="3093.0"/>
        <n v="795.0"/>
        <n v="1986.0"/>
        <n v="25.0"/>
        <n v="1759.0"/>
        <n v="926.0"/>
        <n v="5120.0"/>
        <n v="142.0"/>
        <n v="2139.0"/>
        <n v="1532.0"/>
        <n v="82.0"/>
        <n v="6894.0"/>
        <n v="3905.0"/>
        <n v="148.0"/>
        <n v="6581.0"/>
        <n v="11079.0"/>
        <n v="237.0"/>
        <n v="2226.0"/>
        <n v="2832.0"/>
        <n v="519.0"/>
        <n v="1195.0"/>
        <n v="8711.0"/>
        <n v="6466.0"/>
        <n v="688.0"/>
        <n v="11639.0"/>
        <n v="574.0"/>
        <n v="156.0"/>
        <n v="1098.0"/>
        <n v="743.0"/>
        <n v="3671.0"/>
        <n v="682.0"/>
        <n v="290.0"/>
        <n v="2940.0"/>
        <n v="172.0"/>
        <n v="1157.0"/>
        <n v="65.0"/>
        <n v="211.0"/>
        <n v="5438.0"/>
        <n v="1481.0"/>
        <n v="510.0"/>
        <n v="10817.0"/>
        <n v="1520.0"/>
        <n v="16.0"/>
        <n v="121.0"/>
        <n v="187.0"/>
        <n v="626.0"/>
        <n v="9195.0"/>
        <n v="394.0"/>
        <n v="1108.0"/>
        <n v="4089.0"/>
        <n v="3331.0"/>
        <n v="200.0"/>
        <n v="6216.0"/>
        <n v="471.0"/>
        <n v="3749.0"/>
        <n v="2526.0"/>
        <n v="683.0"/>
        <n v="2816.0"/>
        <n v="540.0"/>
        <n v="413.0"/>
        <n v="3067.0"/>
        <n v="3461.0"/>
        <n v="96.0"/>
        <n v="304.0"/>
        <n v="111.0"/>
        <n v="1731.0"/>
        <n v="4524.0"/>
        <n v="3387.0"/>
        <n v="4771.0"/>
        <n v="6969.0"/>
        <n v="639.0"/>
        <n v="9355.0"/>
        <n v="463.0"/>
        <n v="1320.0"/>
        <n v="2803.0"/>
        <n v="338.0"/>
        <n v="1122.0"/>
        <n v="569.0"/>
        <n v="1228.0"/>
        <n v="1347.0"/>
        <n v="2630.0"/>
        <n v="33.0"/>
        <n v="1687.0"/>
        <n v="2663.0"/>
        <n v="3521.0"/>
        <n v="3829.0"/>
        <n v="1844.0"/>
        <n v="681.0"/>
        <n v="12.0"/>
        <n v="223.0"/>
        <n v="7831.0"/>
        <n v="350.0"/>
        <n v="68.0"/>
        <n v="544.0"/>
        <n v="894.0"/>
        <n v="1531.0"/>
        <n v="1612.0"/>
        <n v="904.0"/>
        <n v="965.0"/>
        <n v="1138.0"/>
        <n v="84.0"/>
        <n v="1921.0"/>
        <n v="6342.0"/>
        <n v="2068.0"/>
        <n v="4371.0"/>
        <n v="927.0"/>
        <n v="9526.0"/>
        <n v="384.0"/>
        <n v="1700.0"/>
        <n v="2244.0"/>
        <n v="1795.0"/>
        <n v="2002.0"/>
        <n v="2212.0"/>
        <n v="3425.0"/>
        <n v="1121.0"/>
        <n v="4731.0"/>
        <n v="72.0"/>
        <n v="1583.0"/>
        <n v="1758.0"/>
        <n v="1483.0"/>
        <n v="168.0"/>
        <n v="108.0"/>
        <n v="243.0"/>
        <n v="1834.0"/>
        <n v="7080.0"/>
        <n v="513.0"/>
        <n v="378.0"/>
        <n v="5286.0"/>
        <n v="14348.0"/>
        <n v="7674.0"/>
        <n v="256.0"/>
        <n v="878.0"/>
        <n v="29589.0"/>
        <n v="832.0"/>
        <n v="44.0"/>
        <n v="9376.0"/>
        <n v="1884.0"/>
        <n v="4190.0"/>
        <n v="208.0"/>
        <n v="1596.0"/>
        <n v="4005.0"/>
        <n v="874.0"/>
        <n v="74.0"/>
        <n v="120.0"/>
        <n v="1103.0"/>
        <n v="1649.0"/>
        <n v="11465.0"/>
        <n v="1434.0"/>
        <n v="528.0"/>
        <n v="1705.0"/>
        <n v="4846.0"/>
        <n v="242.0"/>
        <n v="481.0"/>
        <n v="6402.0"/>
        <n v="752.0"/>
        <n v="1337.0"/>
        <n v="539.0"/>
        <n v="500.0"/>
        <n v="17.0"/>
        <n v="1242.0"/>
        <n v="10126.0"/>
        <n v="157.0"/>
        <n v="2771.0"/>
        <n v="3004.0"/>
        <n v="7484.0"/>
        <n v="852.0"/>
        <n v="1308.0"/>
        <n v="1906.0"/>
        <n v="11.0"/>
        <n v="2609.0"/>
        <n v="2976.0"/>
        <n v="2205.0"/>
        <n v="4411.0"/>
        <n v="2112.0"/>
        <n v="329.0"/>
        <n v="285.0"/>
        <n v="583.0"/>
        <n v="3178.0"/>
        <n v="85.0"/>
        <n v="3538.0"/>
        <n v="637.0"/>
        <n v="1330.0"/>
        <n v="1259.0"/>
        <n v="938.0"/>
        <n v="1039.0"/>
        <n v="662.0"/>
        <n v="2334.0"/>
        <n v="2781.0"/>
        <n v="541.0"/>
        <n v="850.0"/>
        <n v="578.0"/>
        <n v="393.0"/>
        <n v="15204.0"/>
        <n v="546.0"/>
        <n v="370.0"/>
        <n v="868.0"/>
        <n v="3092.0"/>
        <n v="1386.0"/>
        <n v="609.0"/>
        <n v="3140.0"/>
        <n v="2013.0"/>
        <n v="729.0"/>
        <n v="1873.0"/>
        <n v="776.0"/>
        <n v="3075.0"/>
        <n v="5338.0"/>
        <n v="13.0"/>
        <n v="3443.0"/>
        <n v="182.0"/>
        <n v="482.0"/>
        <n v="2189.0"/>
        <n v="2274.0"/>
        <n v="6106.0"/>
        <n v="3039.0"/>
        <n v="2346.0"/>
        <n v="1554.0"/>
      </sharedItems>
    </cacheField>
    <cacheField name="closedIssues.totalCount" numFmtId="0">
      <sharedItems containsSemiMixedTypes="0" containsString="0" containsNumber="1" containsInteger="1">
        <n v="16137.0"/>
        <n v="0.0"/>
        <n v="703.0"/>
        <n v="306.0"/>
        <n v="290.0"/>
        <n v="537.0"/>
        <n v="396.0"/>
        <n v="9524.0"/>
        <n v="67.0"/>
        <n v="10892.0"/>
        <n v="33301.0"/>
        <n v="345.0"/>
        <n v="21183.0"/>
        <n v="820.0"/>
        <n v="438.0"/>
        <n v="4017.0"/>
        <n v="190.0"/>
        <n v="61384.0"/>
        <n v="1029.0"/>
        <n v="357.0"/>
        <n v="133178.0"/>
        <n v="751.0"/>
        <n v="1095.0"/>
        <n v="94.0"/>
        <n v="568.0"/>
        <n v="21283.0"/>
        <n v="314.0"/>
        <n v="116.0"/>
        <n v="21181.0"/>
        <n v="15761.0"/>
        <n v="44067.0"/>
        <n v="2108.0"/>
        <n v="277.0"/>
        <n v="635.0"/>
        <n v="6414.0"/>
        <n v="3609.0"/>
        <n v="12310.0"/>
        <n v="39814.0"/>
        <n v="13616.0"/>
        <n v="452.0"/>
        <n v="8916.0"/>
        <n v="5425.0"/>
        <n v="10918.0"/>
        <n v="29070.0"/>
        <n v="23167.0"/>
        <n v="23675.0"/>
        <n v="279.0"/>
        <n v="15198.0"/>
        <n v="5156.0"/>
        <n v="2315.0"/>
        <n v="46.0"/>
        <n v="13276.0"/>
        <n v="477.0"/>
        <n v="40.0"/>
        <n v="804.0"/>
        <n v="5846.0"/>
        <n v="7398.0"/>
        <n v="444.0"/>
        <n v="81.0"/>
        <n v="42.0"/>
        <n v="36595.0"/>
        <n v="13198.0"/>
        <n v="2033.0"/>
        <n v="9471.0"/>
        <n v="453.0"/>
        <n v="180.0"/>
        <n v="6580.0"/>
        <n v="892.0"/>
        <n v="132.0"/>
        <n v="17480.0"/>
        <n v="157.0"/>
        <n v="6913.0"/>
        <n v="456.0"/>
        <n v="26021.0"/>
        <n v="1444.0"/>
        <n v="3887.0"/>
        <n v="8983.0"/>
        <n v="1524.0"/>
        <n v="17.0"/>
        <n v="5512.0"/>
        <n v="27132.0"/>
        <n v="411.0"/>
        <n v="1490.0"/>
        <n v="7277.0"/>
        <n v="6767.0"/>
        <n v="2383.0"/>
        <n v="2466.0"/>
        <n v="8649.0"/>
        <n v="2355.0"/>
        <n v="1922.0"/>
        <n v="2244.0"/>
        <n v="16129.0"/>
        <n v="59.0"/>
        <n v="18804.0"/>
        <n v="3587.0"/>
        <n v="19.0"/>
        <n v="6373.0"/>
        <n v="7302.0"/>
        <n v="32.0"/>
        <n v="2119.0"/>
        <n v="3137.0"/>
        <n v="3896.0"/>
        <n v="308.0"/>
        <n v="2807.0"/>
        <n v="11177.0"/>
        <n v="4367.0"/>
        <n v="74.0"/>
        <n v="124.0"/>
        <n v="2706.0"/>
        <n v="2325.0"/>
        <n v="29970.0"/>
        <n v="29980.0"/>
        <n v="3763.0"/>
        <n v="571.0"/>
        <n v="13502.0"/>
        <n v="316.0"/>
        <n v="1268.0"/>
        <n v="15132.0"/>
        <n v="28631.0"/>
        <n v="243.0"/>
        <n v="13915.0"/>
        <n v="15430.0"/>
        <n v="8048.0"/>
        <n v="23233.0"/>
        <n v="70.0"/>
        <n v="5242.0"/>
        <n v="4277.0"/>
        <n v="1209.0"/>
        <n v="238.0"/>
        <n v="29.0"/>
        <n v="1497.0"/>
        <n v="21144.0"/>
        <n v="80.0"/>
        <n v="1945.0"/>
        <n v="3438.0"/>
        <n v="6447.0"/>
        <n v="19700.0"/>
        <n v="7263.0"/>
        <n v="147.0"/>
        <n v="58.0"/>
        <n v="668.0"/>
        <n v="6482.0"/>
        <n v="53680.0"/>
        <n v="130.0"/>
        <n v="3819.0"/>
        <n v="4038.0"/>
        <n v="230.0"/>
        <n v="1940.0"/>
        <n v="650.0"/>
        <n v="2039.0"/>
        <n v="971.0"/>
        <n v="3084.0"/>
        <n v="95.0"/>
        <n v="4616.0"/>
        <n v="2272.0"/>
        <n v="778.0"/>
        <n v="567.0"/>
        <n v="2727.0"/>
        <n v="4493.0"/>
        <n v="671.0"/>
        <n v="38.0"/>
        <n v="2163.0"/>
        <n v="4200.0"/>
        <n v="4742.0"/>
        <n v="91.0"/>
        <n v="4832.0"/>
        <n v="3521.0"/>
        <n v="93.0"/>
        <n v="483.0"/>
        <n v="8619.0"/>
        <n v="30.0"/>
        <n v="3562.0"/>
        <n v="39.0"/>
        <n v="34.0"/>
        <n v="2993.0"/>
        <n v="68.0"/>
        <n v="760.0"/>
        <n v="5967.0"/>
        <n v="2647.0"/>
        <n v="289.0"/>
        <n v="4060.0"/>
        <n v="173.0"/>
        <n v="7588.0"/>
        <n v="4109.0"/>
        <n v="6335.0"/>
        <n v="5733.0"/>
        <n v="6368.0"/>
        <n v="4584.0"/>
        <n v="181.0"/>
        <n v="4134.0"/>
        <n v="3569.0"/>
        <n v="1814.0"/>
        <n v="7143.0"/>
        <n v="2457.0"/>
        <n v="448.0"/>
        <n v="2435.0"/>
        <n v="18408.0"/>
        <n v="8467.0"/>
        <n v="715.0"/>
        <n v="798.0"/>
        <n v="6054.0"/>
        <n v="8085.0"/>
        <n v="167.0"/>
        <n v="4474.0"/>
        <n v="816.0"/>
        <n v="52.0"/>
        <n v="6202.0"/>
        <n v="2753.0"/>
        <n v="6345.0"/>
        <n v="1663.0"/>
        <n v="502.0"/>
        <n v="72.0"/>
        <n v="1104.0"/>
        <n v="2521.0"/>
        <n v="2610.0"/>
        <n v="1197.0"/>
        <n v="4957.0"/>
        <n v="351.0"/>
        <n v="3969.0"/>
        <n v="2524.0"/>
        <n v="4808.0"/>
        <n v="2468.0"/>
        <n v="2160.0"/>
        <n v="2482.0"/>
        <n v="407.0"/>
        <n v="947.0"/>
        <n v="41.0"/>
        <n v="445.0"/>
        <n v="223.0"/>
        <n v="1418.0"/>
        <n v="951.0"/>
        <n v="839.0"/>
        <n v="553.0"/>
        <n v="12081.0"/>
        <n v="1576.0"/>
        <n v="66.0"/>
        <n v="2861.0"/>
        <n v="4511.0"/>
        <n v="336.0"/>
        <n v="1547.0"/>
        <n v="9686.0"/>
        <n v="3727.0"/>
        <n v="817.0"/>
        <n v="10058.0"/>
        <n v="19529.0"/>
        <n v="583.0"/>
        <n v="2925.0"/>
        <n v="79.0"/>
        <n v="69.0"/>
        <n v="7199.0"/>
        <n v="20.0"/>
        <n v="44.0"/>
        <n v="6116.0"/>
        <n v="5845.0"/>
        <n v="549.0"/>
        <n v="739.0"/>
        <n v="3813.0"/>
        <n v="27.0"/>
        <n v="18.0"/>
        <n v="3767.0"/>
        <n v="2133.0"/>
        <n v="17397.0"/>
        <n v="101.0"/>
        <n v="255.0"/>
        <n v="7067.0"/>
        <n v="600.0"/>
        <n v="1895.0"/>
        <n v="1906.0"/>
        <n v="144.0"/>
        <n v="3059.0"/>
        <n v="110.0"/>
        <n v="3594.0"/>
        <n v="1435.0"/>
        <n v="4.0"/>
        <n v="843.0"/>
        <n v="1878.0"/>
        <n v="3758.0"/>
        <n v="11664.0"/>
        <n v="137.0"/>
        <n v="3890.0"/>
        <n v="2353.0"/>
        <n v="3647.0"/>
        <n v="1248.0"/>
        <n v="781.0"/>
        <n v="8558.0"/>
        <n v="3788.0"/>
        <n v="1415.0"/>
        <n v="355.0"/>
        <n v="1843.0"/>
        <n v="595.0"/>
        <n v="288.0"/>
        <n v="86.0"/>
        <n v="4313.0"/>
        <n v="1115.0"/>
        <n v="2827.0"/>
        <n v="9871.0"/>
        <n v="1809.0"/>
        <n v="1397.0"/>
        <n v="347.0"/>
        <n v="7718.0"/>
        <n v="4974.0"/>
        <n v="131.0"/>
        <n v="588.0"/>
        <n v="4449.0"/>
        <n v="3416.0"/>
        <n v="118.0"/>
        <n v="8083.0"/>
        <n v="112.0"/>
        <n v="220.0"/>
        <n v="2007.0"/>
        <n v="2260.0"/>
        <n v="239.0"/>
        <n v="991.0"/>
        <n v="5229.0"/>
        <n v="1258.0"/>
        <n v="15808.0"/>
        <n v="5482.0"/>
        <n v="2228.0"/>
        <n v="519.0"/>
        <n v="3258.0"/>
        <n v="1491.0"/>
        <n v="1792.0"/>
        <n v="2270.0"/>
        <n v="2209.0"/>
        <n v="2507.0"/>
        <n v="2691.0"/>
        <n v="37.0"/>
        <n v="465.0"/>
        <n v="3299.0"/>
        <n v="1801.0"/>
        <n v="1028.0"/>
        <n v="1474.0"/>
        <n v="516.0"/>
        <n v="1375.0"/>
        <n v="5526.0"/>
        <n v="3306.0"/>
        <n v="6092.0"/>
        <n v="121.0"/>
        <n v="1161.0"/>
        <n v="4678.0"/>
        <n v="5374.0"/>
        <n v="1458.0"/>
        <n v="1136.0"/>
        <n v="2547.0"/>
        <n v="964.0"/>
        <n v="9520.0"/>
        <n v="906.0"/>
        <n v="993.0"/>
        <n v="4514.0"/>
        <n v="4473.0"/>
        <n v="24229.0"/>
        <n v="73.0"/>
        <n v="8126.0"/>
        <n v="51.0"/>
        <n v="768.0"/>
        <n v="5314.0"/>
        <n v="212.0"/>
        <n v="36.0"/>
        <n v="1993.0"/>
        <n v="4731.0"/>
        <n v="1691.0"/>
        <n v="1015.0"/>
        <n v="851.0"/>
        <n v="333.0"/>
        <n v="3181.0"/>
        <n v="45.0"/>
        <n v="1822.0"/>
        <n v="4401.0"/>
        <n v="997.0"/>
        <n v="78.0"/>
        <n v="2652.0"/>
        <n v="1463.0"/>
        <n v="1628.0"/>
        <n v="822.0"/>
        <n v="5357.0"/>
        <n v="1194.0"/>
        <n v="1208.0"/>
        <n v="690.0"/>
        <n v="100.0"/>
        <n v="4752.0"/>
        <n v="11623.0"/>
        <n v="178.0"/>
        <n v="97.0"/>
        <n v="629.0"/>
        <n v="2350.0"/>
        <n v="217.0"/>
        <n v="1734.0"/>
        <n v="3295.0"/>
        <n v="1002.0"/>
        <n v="1363.0"/>
        <n v="1154.0"/>
        <n v="16360.0"/>
        <n v="1097.0"/>
        <n v="2377.0"/>
        <n v="2837.0"/>
        <n v="834.0"/>
        <n v="1106.0"/>
        <n v="17164.0"/>
        <n v="429.0"/>
        <n v="1757.0"/>
        <n v="1807.0"/>
        <n v="17034.0"/>
        <n v="753.0"/>
        <n v="28.0"/>
        <n v="2729.0"/>
        <n v="120.0"/>
        <n v="5297.0"/>
        <n v="641.0"/>
        <n v="6036.0"/>
        <n v="7054.0"/>
        <n v="152.0"/>
        <n v="1417.0"/>
        <n v="1341.0"/>
        <n v="9033.0"/>
        <n v="872.0"/>
        <n v="1629.0"/>
        <n v="494.0"/>
        <n v="393.0"/>
        <n v="266.0"/>
        <n v="613.0"/>
        <n v="71.0"/>
        <n v="580.0"/>
        <n v="53.0"/>
        <n v="3397.0"/>
        <n v="5629.0"/>
        <n v="83.0"/>
        <n v="98.0"/>
        <n v="163.0"/>
        <n v="3.0"/>
        <n v="295.0"/>
        <n v="31.0"/>
        <n v="1385.0"/>
        <n v="12816.0"/>
        <n v="2796.0"/>
        <n v="1349.0"/>
        <n v="25.0"/>
        <n v="15.0"/>
        <n v="1783.0"/>
        <n v="491.0"/>
        <n v="1078.0"/>
        <n v="155.0"/>
        <n v="5013.0"/>
        <n v="13618.0"/>
        <n v="1722.0"/>
        <n v="2166.0"/>
        <n v="6910.0"/>
        <n v="623.0"/>
        <n v="39034.0"/>
        <n v="576.0"/>
        <n v="1274.0"/>
        <n v="399.0"/>
        <n v="4652.0"/>
        <n v="4163.0"/>
        <n v="1109.0"/>
        <n v="614.0"/>
        <n v="3725.0"/>
        <n v="1308.0"/>
        <n v="3916.0"/>
        <n v="2374.0"/>
        <n v="7860.0"/>
        <n v="24.0"/>
        <n v="10429.0"/>
        <n v="4695.0"/>
        <n v="439.0"/>
        <n v="3120.0"/>
        <n v="2120.0"/>
        <n v="54.0"/>
        <n v="1624.0"/>
        <n v="889.0"/>
        <n v="2237.0"/>
        <n v="1391.0"/>
        <n v="2694.0"/>
        <n v="16.0"/>
        <n v="1635.0"/>
        <n v="432.0"/>
        <n v="88.0"/>
        <n v="256.0"/>
        <n v="1464.0"/>
        <n v="9345.0"/>
        <n v="2436.0"/>
        <n v="7065.0"/>
        <n v="49.0"/>
        <n v="201.0"/>
        <n v="4693.0"/>
        <n v="8227.0"/>
        <n v="1551.0"/>
        <n v="2093.0"/>
        <n v="1174.0"/>
        <n v="579.0"/>
        <n v="8542.0"/>
        <n v="3115.0"/>
        <n v="602.0"/>
        <n v="3771.0"/>
        <n v="464.0"/>
        <n v="361.0"/>
        <n v="5129.0"/>
        <n v="405.0"/>
        <n v="156.0"/>
        <n v="11021.0"/>
        <n v="3658.0"/>
        <n v="4464.0"/>
        <n v="2140.0"/>
        <n v="2931.0"/>
        <n v="11.0"/>
        <n v="5865.0"/>
        <n v="1039.0"/>
        <n v="606.0"/>
        <n v="1313.0"/>
        <n v="344.0"/>
        <n v="10.0"/>
        <n v="6146.0"/>
        <n v="1911.0"/>
        <n v="5655.0"/>
        <n v="557.0"/>
        <n v="517.0"/>
        <n v="63.0"/>
        <n v="1557.0"/>
        <n v="210.0"/>
        <n v="1770.0"/>
        <n v="133.0"/>
        <n v="1227.0"/>
        <n v="21.0"/>
        <n v="551.0"/>
        <n v="2373.0"/>
        <n v="1443.0"/>
        <n v="2171.0"/>
        <n v="904.0"/>
        <n v="1305.0"/>
        <n v="968.0"/>
        <n v="1232.0"/>
        <n v="410.0"/>
        <n v="3391.0"/>
        <n v="759.0"/>
        <n v="533.0"/>
        <n v="4241.0"/>
        <n v="2892.0"/>
        <n v="2886.0"/>
        <n v="1016.0"/>
        <n v="624.0"/>
        <n v="11677.0"/>
        <n v="159.0"/>
        <n v="681.0"/>
        <n v="1284.0"/>
        <n v="1129.0"/>
        <n v="929.0"/>
        <n v="587.0"/>
        <n v="1067.0"/>
        <n v="796.0"/>
        <n v="554.0"/>
        <n v="1944.0"/>
        <n v="9505.0"/>
        <n v="2224.0"/>
        <n v="3519.0"/>
        <n v="2149.0"/>
        <n v="6494.0"/>
        <n v="1546.0"/>
        <n v="560.0"/>
        <n v="3961.0"/>
        <n v="48.0"/>
        <n v="901.0"/>
        <n v="114.0"/>
        <n v="6576.0"/>
        <n v="657.0"/>
        <n v="1138.0"/>
        <n v="4119.0"/>
        <n v="1157.0"/>
        <n v="566.0"/>
        <n v="1172.0"/>
        <n v="153.0"/>
        <n v="5283.0"/>
        <n v="6326.0"/>
        <n v="7870.0"/>
        <n v="609.0"/>
        <n v="1698.0"/>
        <n v="1170.0"/>
        <n v="26.0"/>
        <n v="615.0"/>
        <n v="1454.0"/>
        <n v="5842.0"/>
        <n v="1413.0"/>
        <n v="6239.0"/>
        <n v="327.0"/>
        <n v="535.0"/>
        <n v="698.0"/>
        <n v="1151.0"/>
        <n v="2402.0"/>
        <n v="819.0"/>
        <n v="548.0"/>
        <n v="2460.0"/>
        <n v="226.0"/>
        <n v="76.0"/>
        <n v="1741.0"/>
        <n v="1431.0"/>
        <n v="203.0"/>
        <n v="2863.0"/>
        <n v="773.0"/>
        <n v="1752.0"/>
        <n v="902.0"/>
        <n v="22.0"/>
        <n v="1790.0"/>
        <n v="1224.0"/>
        <n v="6549.0"/>
        <n v="3865.0"/>
        <n v="4314.0"/>
        <n v="1237.0"/>
        <n v="8648.0"/>
        <n v="23.0"/>
        <n v="186.0"/>
        <n v="1739.0"/>
        <n v="2590.0"/>
        <n v="493.0"/>
        <n v="543.0"/>
        <n v="8199.0"/>
        <n v="5564.0"/>
        <n v="573.0"/>
        <n v="8246.0"/>
        <n v="558.0"/>
        <n v="923.0"/>
        <n v="699.0"/>
        <n v="2893.0"/>
        <n v="292.0"/>
        <n v="268.0"/>
        <n v="1946.0"/>
        <n v="1127.0"/>
        <n v="5087.0"/>
        <n v="1164.0"/>
        <n v="406.0"/>
        <n v="8798.0"/>
        <n v="1297.0"/>
        <n v="13.0"/>
        <n v="135.0"/>
        <n v="631.0"/>
        <n v="348.0"/>
        <n v="9097.0"/>
        <n v="204.0"/>
        <n v="248.0"/>
        <n v="952.0"/>
        <n v="3176.0"/>
        <n v="3191.0"/>
        <n v="197.0"/>
        <n v="5650.0"/>
        <n v="450.0"/>
        <n v="3473.0"/>
        <n v="565.0"/>
        <n v="480.0"/>
        <n v="2259.0"/>
        <n v="489.0"/>
        <n v="2802.0"/>
        <n v="451.0"/>
        <n v="2561.0"/>
        <n v="3135.0"/>
        <n v="65.0"/>
        <n v="302.0"/>
        <n v="1403.0"/>
        <n v="111.0"/>
        <n v="1530.0"/>
        <n v="4489.0"/>
        <n v="3318.0"/>
        <n v="4755.0"/>
        <n v="196.0"/>
        <n v="5872.0"/>
        <n v="6934.0"/>
        <n v="409.0"/>
        <n v="1037.0"/>
        <n v="395.0"/>
        <n v="2787.0"/>
        <n v="257.0"/>
        <n v="62.0"/>
        <n v="1089.0"/>
        <n v="513.0"/>
        <n v="1150.0"/>
        <n v="2023.0"/>
        <n v="1264.0"/>
        <n v="2250.0"/>
        <n v="3341.0"/>
        <n v="3731.0"/>
        <n v="1791.0"/>
        <n v="538.0"/>
        <n v="154.0"/>
        <n v="6610.0"/>
        <n v="544.0"/>
        <n v="744.0"/>
        <n v="891.0"/>
        <n v="1532.0"/>
        <n v="842.0"/>
        <n v="918.0"/>
        <n v="1072.0"/>
        <n v="61.0"/>
        <n v="1392.0"/>
        <n v="6312.0"/>
        <n v="1963.0"/>
        <n v="4300.0"/>
        <n v="786.0"/>
        <n v="7742.0"/>
        <n v="1657.0"/>
        <n v="1181.0"/>
        <n v="75.0"/>
        <n v="2002.0"/>
        <n v="2586.0"/>
        <n v="741.0"/>
        <n v="4228.0"/>
        <n v="1495.0"/>
        <n v="1501.0"/>
        <n v="1370.0"/>
        <n v="82.0"/>
        <n v="12.0"/>
        <n v="1823.0"/>
        <n v="722.0"/>
        <n v="6893.0"/>
        <n v="512.0"/>
        <n v="232.0"/>
        <n v="4842.0"/>
        <n v="12253.0"/>
        <n v="6876.0"/>
        <n v="211.0"/>
        <n v="27536.0"/>
        <n v="811.0"/>
        <n v="43.0"/>
        <n v="8758.0"/>
        <n v="3930.0"/>
        <n v="176.0"/>
        <n v="803.0"/>
        <n v="341.0"/>
        <n v="3703.0"/>
        <n v="105.0"/>
        <n v="643.0"/>
        <n v="1103.0"/>
        <n v="1335.0"/>
        <n v="14.0"/>
        <n v="10695.0"/>
        <n v="1317.0"/>
        <n v="397.0"/>
        <n v="1683.0"/>
        <n v="104.0"/>
        <n v="160.0"/>
        <n v="5943.0"/>
        <n v="6062.0"/>
        <n v="462.0"/>
        <n v="941.0"/>
        <n v="468.0"/>
        <n v="1982.0"/>
        <n v="298.0"/>
        <n v="1065.0"/>
        <n v="7730.0"/>
        <n v="2127.0"/>
        <n v="2502.0"/>
        <n v="5876.0"/>
        <n v="767.0"/>
        <n v="1141.0"/>
        <n v="1894.0"/>
        <n v="1828.0"/>
        <n v="2535.0"/>
        <n v="1342.0"/>
        <n v="2081.0"/>
        <n v="4321.0"/>
        <n v="2088.0"/>
        <n v="329.0"/>
        <n v="3132.0"/>
        <n v="888.0"/>
        <n v="2896.0"/>
        <n v="912.0"/>
        <n v="473.0"/>
        <n v="1057.0"/>
        <n v="857.0"/>
        <n v="864.0"/>
        <n v="525.0"/>
        <n v="2030.0"/>
        <n v="2718.0"/>
        <n v="138.0"/>
        <n v="403.0"/>
        <n v="474.0"/>
        <n v="13064.0"/>
        <n v="467.0"/>
        <n v="2014.0"/>
        <n v="356.0"/>
        <n v="6.0"/>
        <n v="126.0"/>
        <n v="2941.0"/>
        <n v="1381.0"/>
        <n v="589.0"/>
        <n v="2984.0"/>
        <n v="1872.0"/>
        <n v="1879.0"/>
        <n v="649.0"/>
        <n v="1558.0"/>
        <n v="2097.0"/>
        <n v="5105.0"/>
        <n v="3068.0"/>
        <n v="179.0"/>
        <n v="2179.0"/>
        <n v="1692.0"/>
        <n v="5625.0"/>
        <n v="162.0"/>
        <n v="2292.0"/>
      </sharedItems>
    </cacheField>
    <cacheField name="Data de Criação" numFmtId="164">
      <sharedItems containsSemiMixedTypes="0" containsDate="1" containsString="0">
        <d v="2014-12-24T00:00:00Z"/>
        <d v="2019-03-26T00:00:00Z"/>
        <d v="2013-10-11T00:00:00Z"/>
        <d v="2016-06-06T00:00:00Z"/>
        <d v="2014-07-11T00:00:00Z"/>
        <d v="2017-03-15T00:00:00Z"/>
        <d v="2016-03-20T00:00:00Z"/>
        <d v="2013-07-29T00:00:00Z"/>
        <d v="2017-02-26T00:00:00Z"/>
        <d v="2013-05-24T00:00:00Z"/>
        <d v="2015-11-07T00:00:00Z"/>
        <d v="2018-05-09T00:00:00Z"/>
        <d v="2011-07-29T00:00:00Z"/>
        <d v="2013-11-16T00:00:00Z"/>
        <d v="2018-02-13T00:00:00Z"/>
        <d v="2009-08-28T00:00:00Z"/>
        <d v="2018-03-24T00:00:00Z"/>
        <d v="2015-03-06T00:00:00Z"/>
        <d v="2016-07-16T00:00:00Z"/>
        <d v="2014-06-27T00:00:00Z"/>
        <d v="2010-11-08T00:00:00Z"/>
        <d v="2011-09-04T00:00:00Z"/>
        <d v="2015-09-03T00:00:00Z"/>
        <d v="2018-05-07T00:00:00Z"/>
        <d v="2012-11-01T00:00:00Z"/>
        <d v="2018-03-01T00:00:00Z"/>
        <d v="2014-05-04T00:00:00Z"/>
        <d v="2010-10-31T00:00:00Z"/>
        <d v="2020-02-19T00:00:00Z"/>
        <d v="2015-05-20T00:00:00Z"/>
        <d v="2015-01-09T00:00:00Z"/>
        <d v="2013-04-12T00:00:00Z"/>
        <d v="2014-08-19T00:00:00Z"/>
        <d v="2010-09-27T00:00:00Z"/>
        <d v="2017-11-29T00:00:00Z"/>
        <d v="2015-06-01T00:00:00Z"/>
        <d v="2016-07-17T00:00:00Z"/>
        <d v="2014-08-18T00:00:00Z"/>
        <d v="2013-11-04T00:00:00Z"/>
        <d v="2016-10-05T00:00:00Z"/>
        <d v="2014-06-06T00:00:00Z"/>
        <d v="2014-11-26T00:00:00Z"/>
        <d v="2014-07-06T00:00:00Z"/>
        <d v="2017-08-11T00:00:00Z"/>
        <d v="2018-05-15T00:00:00Z"/>
        <d v="2010-03-23T00:00:00Z"/>
        <d v="2014-06-17T00:00:00Z"/>
        <d v="2014-09-18T00:00:00Z"/>
        <d v="2015-04-24T00:00:00Z"/>
        <d v="2017-09-15T00:00:00Z"/>
        <d v="2017-05-09T00:00:00Z"/>
        <d v="2017-04-17T00:00:00Z"/>
        <d v="2016-07-05T00:00:00Z"/>
        <d v="2019-05-01T00:00:00Z"/>
        <d v="2014-08-09T00:00:00Z"/>
        <d v="2018-06-23T00:00:00Z"/>
        <d v="2017-04-12T00:00:00Z"/>
        <d v="2011-10-12T00:00:00Z"/>
        <d v="2016-02-05T00:00:00Z"/>
        <d v="2016-03-18T00:00:00Z"/>
        <d v="2015-04-08T00:00:00Z"/>
        <d v="2016-11-25T00:00:00Z"/>
        <d v="2018-12-06T00:00:00Z"/>
        <d v="2010-06-16T00:00:00Z"/>
        <d v="2011-06-08T00:00:00Z"/>
        <d v="2012-02-17T00:00:00Z"/>
        <d v="2017-11-21T00:00:00Z"/>
        <d v="2018-10-29T00:00:00Z"/>
        <d v="2016-02-26T00:00:00Z"/>
        <d v="2015-10-20T00:00:00Z"/>
        <d v="2012-04-28T00:00:00Z"/>
        <d v="2010-12-19T00:00:00Z"/>
        <d v="2014-11-11T00:00:00Z"/>
        <d v="2018-10-06T00:00:00Z"/>
        <d v="2013-01-18T00:00:00Z"/>
        <d v="2013-12-15T00:00:00Z"/>
        <d v="2012-07-19T00:00:00Z"/>
        <d v="2013-11-27T00:00:00Z"/>
        <d v="2012-10-19T00:00:00Z"/>
        <d v="2014-06-16T00:00:00Z"/>
        <d v="2016-11-20T00:00:00Z"/>
        <d v="2012-03-10T00:00:00Z"/>
        <d v="2011-06-07T00:00:00Z"/>
        <d v="2017-10-16T00:00:00Z"/>
        <d v="2017-08-24T00:00:00Z"/>
        <d v="2013-07-04T00:00:00Z"/>
        <d v="2010-02-08T00:00:00Z"/>
        <d v="2018-04-04T00:00:00Z"/>
        <d v="2010-04-15T00:00:00Z"/>
        <d v="2015-10-23T00:00:00Z"/>
        <d v="2013-06-17T00:00:00Z"/>
        <d v="2010-04-06T00:00:00Z"/>
        <d v="2017-10-06T00:00:00Z"/>
        <d v="2010-01-06T00:00:00Z"/>
        <d v="2015-12-21T00:00:00Z"/>
        <d v="2015-05-29T00:00:00Z"/>
        <d v="2016-05-04T00:00:00Z"/>
        <d v="2012-01-20T00:00:00Z"/>
        <d v="2011-02-06T00:00:00Z"/>
        <d v="2016-08-13T00:00:00Z"/>
        <d v="2009-06-26T00:00:00Z"/>
        <d v="2017-02-14T00:00:00Z"/>
        <d v="2013-03-17T00:00:00Z"/>
        <d v="2015-03-18T00:00:00Z"/>
        <d v="2014-01-31T00:00:00Z"/>
        <d v="2019-02-25T00:00:00Z"/>
        <d v="2018-04-06T00:00:00Z"/>
        <d v="2009-04-03T00:00:00Z"/>
        <d v="2010-03-11T00:00:00Z"/>
        <d v="2020-11-10T00:00:00Z"/>
        <d v="2009-03-21T00:00:00Z"/>
        <d v="2012-05-13T00:00:00Z"/>
        <d v="2019-02-27T00:00:00Z"/>
        <d v="2015-03-28T00:00:00Z"/>
        <d v="2014-08-26T00:00:00Z"/>
        <d v="2014-07-15T00:00:00Z"/>
        <d v="2016-03-30T00:00:00Z"/>
        <d v="2012-02-09T00:00:00Z"/>
        <d v="2013-01-14T00:00:00Z"/>
        <d v="2018-11-14T00:00:00Z"/>
        <d v="2013-09-17T00:00:00Z"/>
        <d v="2012-03-06T00:00:00Z"/>
        <d v="2012-04-07T00:00:00Z"/>
        <d v="2018-02-06T00:00:00Z"/>
        <d v="2015-05-21T00:00:00Z"/>
        <d v="2014-04-03T00:00:00Z"/>
        <d v="2010-01-24T00:00:00Z"/>
        <d v="2016-09-03T00:00:00Z"/>
        <d v="2014-01-04T00:00:00Z"/>
        <d v="2013-04-03T00:00:00Z"/>
        <d v="2018-09-04T00:00:00Z"/>
        <d v="2008-04-11T00:00:00Z"/>
        <d v="2010-08-17T00:00:00Z"/>
        <d v="2014-11-20T00:00:00Z"/>
        <d v="2013-12-11T00:00:00Z"/>
        <d v="2014-08-06T00:00:00Z"/>
        <d v="2013-04-08T00:00:00Z"/>
        <d v="2017-02-04T00:00:00Z"/>
        <d v="2014-11-01T00:00:00Z"/>
        <d v="2018-03-30T00:00:00Z"/>
        <d v="2015-11-28T00:00:00Z"/>
        <d v="2019-07-13T00:00:00Z"/>
        <d v="2010-12-08T00:00:00Z"/>
        <d v="2018-06-27T00:00:00Z"/>
        <d v="2018-12-08T00:00:00Z"/>
        <d v="2011-05-04T00:00:00Z"/>
        <d v="2011-02-13T00:00:00Z"/>
        <d v="2014-05-16T00:00:00Z"/>
        <d v="2013-08-20T00:00:00Z"/>
        <d v="2015-07-21T00:00:00Z"/>
        <d v="2019-09-05T00:00:00Z"/>
        <d v="2017-03-05T00:00:00Z"/>
        <d v="2015-09-30T00:00:00Z"/>
        <d v="2017-02-10T00:00:00Z"/>
        <d v="2019-06-12T00:00:00Z"/>
        <d v="2011-03-01T00:00:00Z"/>
        <d v="2020-04-21T00:00:00Z"/>
        <d v="2020-02-29T00:00:00Z"/>
        <d v="2013-10-23T00:00:00Z"/>
        <d v="2015-03-22T00:00:00Z"/>
        <d v="2014-08-12T00:00:00Z"/>
        <d v="2014-10-08T00:00:00Z"/>
        <d v="2013-01-08T00:00:00Z"/>
        <d v="2013-11-26T00:00:00Z"/>
        <d v="2016-01-23T00:00:00Z"/>
        <d v="2019-08-21T00:00:00Z"/>
        <d v="2017-03-03T00:00:00Z"/>
        <d v="2014-05-29T00:00:00Z"/>
        <d v="2012-08-20T00:00:00Z"/>
        <d v="2008-10-20T00:00:00Z"/>
        <d v="2020-07-09T00:00:00Z"/>
        <d v="2015-11-21T00:00:00Z"/>
        <d v="2010-02-22T00:00:00Z"/>
        <d v="2012-11-24T00:00:00Z"/>
        <d v="2016-11-29T00:00:00Z"/>
        <d v="2020-05-06T00:00:00Z"/>
        <d v="2015-04-21T00:00:00Z"/>
        <d v="2008-07-23T00:00:00Z"/>
        <d v="2016-10-25T00:00:00Z"/>
        <d v="2015-10-24T00:00:00Z"/>
        <d v="2016-03-13T00:00:00Z"/>
        <d v="2012-01-19T00:00:00Z"/>
        <d v="2015-08-08T00:00:00Z"/>
        <d v="2012-07-23T00:00:00Z"/>
        <d v="2018-08-21T00:00:00Z"/>
        <d v="2012-02-13T00:00:00Z"/>
        <d v="2017-07-22T00:00:00Z"/>
        <d v="2015-01-13T00:00:00Z"/>
        <d v="2017-05-07T00:00:00Z"/>
        <d v="2014-11-15T00:00:00Z"/>
        <d v="2015-11-11T00:00:00Z"/>
        <d v="2017-12-19T00:00:00Z"/>
        <d v="2016-10-21T00:00:00Z"/>
        <d v="2019-11-15T00:00:00Z"/>
        <d v="2013-12-25T00:00:00Z"/>
        <d v="2016-02-18T00:00:00Z"/>
        <d v="2012-02-19T00:00:00Z"/>
        <d v="2014-09-28T00:00:00Z"/>
        <d v="2017-08-07T00:00:00Z"/>
        <d v="2016-10-26T00:00:00Z"/>
        <d v="2013-07-06T00:00:00Z"/>
        <d v="2013-05-04T00:00:00Z"/>
        <d v="2016-01-19T00:00:00Z"/>
        <d v="2012-08-02T00:00:00Z"/>
        <d v="2014-02-12T00:00:00Z"/>
        <d v="2014-07-21T00:00:00Z"/>
        <d v="2013-10-01T00:00:00Z"/>
        <d v="2012-10-05T00:00:00Z"/>
        <d v="2016-10-18T00:00:00Z"/>
        <d v="2010-09-06T00:00:00Z"/>
        <d v="2021-03-03T00:00:00Z"/>
        <d v="2014-07-10T00:00:00Z"/>
        <d v="2017-12-27T00:00:00Z"/>
        <d v="2015-09-04T00:00:00Z"/>
        <d v="2011-04-21T00:00:00Z"/>
        <d v="2015-03-04T00:00:00Z"/>
        <d v="2018-04-10T00:00:00Z"/>
        <d v="2013-12-08T00:00:00Z"/>
        <d v="2013-12-10T00:00:00Z"/>
        <d v="2011-04-26T00:00:00Z"/>
        <d v="2014-07-17T00:00:00Z"/>
        <d v="2015-09-13T00:00:00Z"/>
        <d v="2019-11-10T00:00:00Z"/>
        <d v="2014-07-22T00:00:00Z"/>
        <d v="2012-01-04T00:00:00Z"/>
        <d v="2016-07-01T00:00:00Z"/>
        <d v="2013-12-26T00:00:00Z"/>
        <d v="2015-04-11T00:00:00Z"/>
        <d v="2016-12-23T00:00:00Z"/>
        <d v="2016-05-15T00:00:00Z"/>
        <d v="2014-09-12T00:00:00Z"/>
        <d v="2016-09-22T00:00:00Z"/>
        <d v="2020-03-10T00:00:00Z"/>
        <d v="2014-06-08T00:00:00Z"/>
        <d v="2018-07-05T00:00:00Z"/>
        <d v="2014-07-31T00:00:00Z"/>
        <d v="2019-10-12T00:00:00Z"/>
        <d v="2012-06-19T00:00:00Z"/>
        <d v="2014-12-05T00:00:00Z"/>
        <d v="2013-05-21T00:00:00Z"/>
        <d v="2013-01-21T00:00:00Z"/>
        <d v="2016-08-16T00:00:00Z"/>
        <d v="2017-06-20T00:00:00Z"/>
        <d v="2016-09-02T00:00:00Z"/>
        <d v="2018-07-12T00:00:00Z"/>
        <d v="2011-12-28T00:00:00Z"/>
        <d v="2018-04-21T00:00:00Z"/>
        <d v="2014-04-12T00:00:00Z"/>
        <d v="2016-09-30T00:00:00Z"/>
        <d v="2018-06-25T00:00:00Z"/>
        <d v="2013-03-10T00:00:00Z"/>
        <d v="2016-03-23T00:00:00Z"/>
        <d v="2013-01-12T00:00:00Z"/>
        <d v="2019-05-26T00:00:00Z"/>
        <d v="2018-06-02T00:00:00Z"/>
        <d v="2017-01-28T00:00:00Z"/>
        <d v="2014-12-02T00:00:00Z"/>
        <d v="2016-11-24T00:00:00Z"/>
        <d v="2016-08-10T00:00:00Z"/>
        <d v="2014-04-25T00:00:00Z"/>
        <d v="2010-09-22T00:00:00Z"/>
        <d v="2016-04-24T00:00:00Z"/>
        <d v="2017-11-12T00:00:00Z"/>
        <d v="2014-12-08T00:00:00Z"/>
        <d v="2012-09-23T00:00:00Z"/>
        <d v="2015-08-19T00:00:00Z"/>
        <d v="2016-09-12T00:00:00Z"/>
        <d v="2010-08-24T00:00:00Z"/>
        <d v="2018-12-24T00:00:00Z"/>
        <d v="2018-01-13T00:00:00Z"/>
        <d v="2018-10-18T00:00:00Z"/>
        <d v="2013-06-22T00:00:00Z"/>
        <d v="2012-06-06T00:00:00Z"/>
        <d v="2016-01-13T00:00:00Z"/>
        <d v="2013-11-07T00:00:00Z"/>
        <d v="2017-02-16T00:00:00Z"/>
        <d v="2015-01-14T00:00:00Z"/>
        <d v="2009-05-27T00:00:00Z"/>
        <d v="2017-08-23T00:00:00Z"/>
        <d v="2013-09-13T00:00:00Z"/>
        <d v="2018-06-04T00:00:00Z"/>
        <d v="2014-03-16T00:00:00Z"/>
        <d v="2011-06-16T00:00:00Z"/>
        <d v="2017-09-09T00:00:00Z"/>
        <d v="2019-06-10T00:00:00Z"/>
        <d v="2013-09-20T00:00:00Z"/>
        <d v="2019-03-01T00:00:00Z"/>
        <d v="2014-03-13T00:00:00Z"/>
        <d v="2010-05-14T00:00:00Z"/>
        <d v="2017-02-25T00:00:00Z"/>
        <d v="2021-05-05T00:00:00Z"/>
        <d v="2014-02-25T00:00:00Z"/>
        <d v="2011-12-07T00:00:00Z"/>
        <d v="2013-11-13T00:00:00Z"/>
        <d v="2012-07-30T00:00:00Z"/>
        <d v="2015-12-04T00:00:00Z"/>
        <d v="2018-05-13T00:00:00Z"/>
        <d v="2011-05-31T00:00:00Z"/>
        <d v="2014-07-09T00:00:00Z"/>
        <d v="2012-04-20T00:00:00Z"/>
        <d v="2016-03-06T00:00:00Z"/>
        <d v="2018-12-18T00:00:00Z"/>
        <d v="2016-10-06T00:00:00Z"/>
        <d v="2016-10-14T00:00:00Z"/>
        <d v="2013-07-20T00:00:00Z"/>
        <d v="2016-06-14T00:00:00Z"/>
        <d v="2013-07-08T00:00:00Z"/>
        <d v="2015-05-19T00:00:00Z"/>
        <d v="2016-12-07T00:00:00Z"/>
        <d v="2013-09-12T00:00:00Z"/>
        <d v="2012-12-16T00:00:00Z"/>
        <d v="2014-11-17T00:00:00Z"/>
        <d v="2016-03-11T00:00:00Z"/>
        <d v="2012-03-20T00:00:00Z"/>
        <d v="2017-05-25T00:00:00Z"/>
        <d v="2017-08-25T00:00:00Z"/>
        <d v="2015-09-11T00:00:00Z"/>
        <d v="2021-04-14T00:00:00Z"/>
        <d v="2015-09-18T00:00:00Z"/>
        <d v="2016-07-07T00:00:00Z"/>
        <d v="2016-07-13T00:00:00Z"/>
        <d v="2012-03-14T00:00:00Z"/>
        <d v="2014-07-02T00:00:00Z"/>
        <d v="2018-06-12T00:00:00Z"/>
        <d v="2015-09-06T00:00:00Z"/>
        <d v="2020-01-02T00:00:00Z"/>
        <d v="2018-10-25T00:00:00Z"/>
        <d v="2016-06-24T00:00:00Z"/>
        <d v="2016-11-01T00:00:00Z"/>
        <d v="2015-03-26T00:00:00Z"/>
        <d v="2010-08-30T00:00:00Z"/>
        <d v="2017-11-03T00:00:00Z"/>
        <d v="2013-04-29T00:00:00Z"/>
        <d v="2017-01-16T00:00:00Z"/>
        <d v="2019-11-12T00:00:00Z"/>
        <d v="2015-04-01T00:00:00Z"/>
        <d v="2018-06-13T00:00:00Z"/>
        <d v="2017-08-28T00:00:00Z"/>
        <d v="2018-04-08T00:00:00Z"/>
        <d v="2018-10-27T00:00:00Z"/>
        <d v="2019-07-30T00:00:00Z"/>
        <d v="2015-01-26T00:00:00Z"/>
        <d v="2015-07-05T00:00:00Z"/>
        <d v="2013-03-18T00:00:00Z"/>
        <d v="2015-01-15T00:00:00Z"/>
        <d v="2011-04-14T00:00:00Z"/>
        <d v="2020-05-29T00:00:00Z"/>
        <d v="2016-07-30T00:00:00Z"/>
        <d v="2016-11-18T00:00:00Z"/>
        <d v="2015-11-04T00:00:00Z"/>
        <d v="2012-12-03T00:00:00Z"/>
        <d v="2019-03-27T00:00:00Z"/>
        <d v="2018-02-01T00:00:00Z"/>
        <d v="2010-12-01T00:00:00Z"/>
        <d v="2017-06-16T00:00:00Z"/>
        <d v="2017-06-14T00:00:00Z"/>
        <d v="2016-12-19T00:00:00Z"/>
        <d v="2014-01-05T00:00:00Z"/>
        <d v="2016-09-06T00:00:00Z"/>
        <d v="2019-12-14T00:00:00Z"/>
        <d v="2013-03-24T00:00:00Z"/>
        <d v="2016-06-07T00:00:00Z"/>
        <d v="2013-06-03T00:00:00Z"/>
        <d v="2020-10-26T00:00:00Z"/>
        <d v="2018-11-05T00:00:00Z"/>
        <d v="2017-05-17T00:00:00Z"/>
        <d v="2018-11-26T00:00:00Z"/>
        <d v="2019-02-24T00:00:00Z"/>
        <d v="2016-06-10T00:00:00Z"/>
        <d v="2018-06-10T00:00:00Z"/>
        <d v="2014-08-27T00:00:00Z"/>
        <d v="2018-08-29T00:00:00Z"/>
        <d v="2017-11-09T00:00:00Z"/>
        <d v="2019-02-08T00:00:00Z"/>
        <d v="2019-03-05T00:00:00Z"/>
        <d v="2020-05-18T00:00:00Z"/>
        <d v="2018-01-25T00:00:00Z"/>
        <d v="2016-02-22T00:00:00Z"/>
        <d v="2010-11-09T00:00:00Z"/>
        <d v="2012-11-17T00:00:00Z"/>
        <d v="2014-10-06T00:00:00Z"/>
        <d v="2019-10-03T00:00:00Z"/>
        <d v="2017-10-29T00:00:00Z"/>
        <d v="2015-02-02T00:00:00Z"/>
        <d v="2013-10-24T00:00:00Z"/>
        <d v="2019-09-10T00:00:00Z"/>
        <d v="2015-12-26T00:00:00Z"/>
        <d v="2013-10-25T00:00:00Z"/>
        <d v="2014-03-11T00:00:00Z"/>
        <d v="2016-04-20T00:00:00Z"/>
        <d v="2011-10-13T00:00:00Z"/>
        <d v="2014-07-08T00:00:00Z"/>
        <d v="2018-05-19T00:00:00Z"/>
        <d v="2014-11-12T00:00:00Z"/>
        <d v="2016-02-29T00:00:00Z"/>
        <d v="2012-09-29T00:00:00Z"/>
        <d v="2014-03-03T00:00:00Z"/>
        <d v="2020-02-04T00:00:00Z"/>
        <d v="2010-12-27T00:00:00Z"/>
        <d v="2018-03-14T00:00:00Z"/>
        <d v="2018-04-23T00:00:00Z"/>
        <d v="2013-09-10T00:00:00Z"/>
        <d v="2015-09-15T00:00:00Z"/>
        <d v="2012-02-29T00:00:00Z"/>
        <d v="2015-02-18T00:00:00Z"/>
        <d v="2016-09-08T00:00:00Z"/>
        <d v="2018-04-07T00:00:00Z"/>
        <d v="2014-07-01T00:00:00Z"/>
        <d v="2010-02-16T00:00:00Z"/>
        <d v="2012-08-31T00:00:00Z"/>
        <d v="2016-04-27T00:00:00Z"/>
        <d v="2019-08-17T00:00:00Z"/>
        <d v="2013-09-03T00:00:00Z"/>
        <d v="2015-08-18T00:00:00Z"/>
        <d v="2016-06-28T00:00:00Z"/>
        <d v="2011-09-05T00:00:00Z"/>
        <d v="2019-04-02T00:00:00Z"/>
        <d v="2011-07-24T00:00:00Z"/>
        <d v="2017-06-23T00:00:00Z"/>
        <d v="2011-08-30T00:00:00Z"/>
        <d v="2015-10-21T00:00:00Z"/>
        <d v="2016-06-25T00:00:00Z"/>
        <d v="2020-09-28T00:00:00Z"/>
        <d v="2016-11-05T00:00:00Z"/>
        <d v="2011-06-03T00:00:00Z"/>
        <d v="2010-09-30T00:00:00Z"/>
        <d v="2017-03-13T00:00:00Z"/>
        <d v="2013-06-19T00:00:00Z"/>
        <d v="2018-06-18T00:00:00Z"/>
        <d v="2017-08-09T00:00:00Z"/>
        <d v="2015-04-29T00:00:00Z"/>
        <d v="2015-07-16T00:00:00Z"/>
        <d v="2013-01-10T00:00:00Z"/>
        <d v="2010-06-01T00:00:00Z"/>
        <d v="2014-03-24T00:00:00Z"/>
        <d v="2015-03-15T00:00:00Z"/>
        <d v="2012-05-29T00:00:00Z"/>
        <d v="2017-07-14T00:00:00Z"/>
        <d v="2014-06-23T00:00:00Z"/>
        <d v="2015-01-27T00:00:00Z"/>
        <d v="2010-01-04T00:00:00Z"/>
        <d v="2015-06-24T00:00:00Z"/>
        <d v="2015-07-28T00:00:00Z"/>
        <d v="2015-02-20T00:00:00Z"/>
        <d v="2009-05-20T00:00:00Z"/>
        <d v="2010-11-27T00:00:00Z"/>
        <d v="2017-06-30T00:00:00Z"/>
        <d v="2016-03-04T00:00:00Z"/>
        <d v="2015-04-13T00:00:00Z"/>
        <d v="2018-11-22T00:00:00Z"/>
        <d v="2019-01-02T00:00:00Z"/>
        <d v="2013-12-09T00:00:00Z"/>
        <d v="2019-12-23T00:00:00Z"/>
        <d v="2015-01-03T00:00:00Z"/>
        <d v="2016-01-26T00:00:00Z"/>
        <d v="2017-12-17T00:00:00Z"/>
        <d v="2013-10-15T00:00:00Z"/>
        <d v="2014-10-09T00:00:00Z"/>
        <d v="2010-07-22T00:00:00Z"/>
        <d v="2013-09-24T00:00:00Z"/>
        <d v="2011-07-16T00:00:00Z"/>
        <d v="2011-10-14T00:00:00Z"/>
        <d v="2009-10-25T00:00:00Z"/>
        <d v="2020-04-27T00:00:00Z"/>
        <d v="2014-12-18T00:00:00Z"/>
        <d v="2018-02-24T00:00:00Z"/>
        <d v="2017-11-10T00:00:00Z"/>
        <d v="2015-09-22T00:00:00Z"/>
        <d v="2017-07-18T00:00:00Z"/>
        <d v="2010-03-18T00:00:00Z"/>
        <d v="2010-03-20T00:00:00Z"/>
        <d v="2014-01-02T00:00:00Z"/>
        <d v="2014-09-06T00:00:00Z"/>
        <d v="2021-06-16T00:00:00Z"/>
        <d v="2011-11-30T00:00:00Z"/>
        <d v="2016-10-09T00:00:00Z"/>
        <d v="2019-01-19T00:00:00Z"/>
        <d v="2015-04-28T00:00:00Z"/>
        <d v="2014-05-13T00:00:00Z"/>
        <d v="2015-06-03T00:00:00Z"/>
        <d v="2011-11-03T00:00:00Z"/>
        <d v="2019-02-12T00:00:00Z"/>
        <d v="2010-01-20T00:00:00Z"/>
        <d v="2015-03-20T00:00:00Z"/>
        <d v="2017-11-04T00:00:00Z"/>
        <d v="2015-11-16T00:00:00Z"/>
        <d v="2018-10-13T00:00:00Z"/>
        <d v="2013-03-05T00:00:00Z"/>
        <d v="2020-02-02T00:00:00Z"/>
        <d v="2012-10-30T00:00:00Z"/>
        <d v="2015-03-14T00:00:00Z"/>
        <d v="2015-06-04T00:00:00Z"/>
        <d v="2014-02-07T00:00:00Z"/>
        <d v="2011-01-23T00:00:00Z"/>
        <d v="2017-05-14T00:00:00Z"/>
        <d v="2018-02-09T00:00:00Z"/>
        <d v="2019-01-28T00:00:00Z"/>
        <d v="2014-02-06T00:00:00Z"/>
        <d v="2014-10-13T00:00:00Z"/>
        <d v="2013-12-19T00:00:00Z"/>
        <d v="2012-08-13T00:00:00Z"/>
        <d v="2012-03-04T00:00:00Z"/>
        <d v="2011-10-09T00:00:00Z"/>
        <d v="2014-09-08T00:00:00Z"/>
        <d v="2015-02-25T00:00:00Z"/>
        <d v="2016-06-22T00:00:00Z"/>
        <d v="2017-10-05T00:00:00Z"/>
        <d v="2011-01-14T00:00:00Z"/>
        <d v="2009-09-25T00:00:00Z"/>
        <d v="2011-03-15T00:00:00Z"/>
        <d v="2018-09-14T00:00:00Z"/>
        <d v="2016-06-18T00:00:00Z"/>
        <d v="2017-10-25T00:00:00Z"/>
        <d v="2016-03-08T00:00:00Z"/>
        <d v="2019-04-05T00:00:00Z"/>
        <d v="2016-06-02T00:00:00Z"/>
        <d v="2019-06-20T00:00:00Z"/>
        <d v="2016-09-20T00:00:00Z"/>
        <d v="2009-12-06T00:00:00Z"/>
        <d v="2014-03-31T00:00:00Z"/>
        <d v="2017-05-30T00:00:00Z"/>
        <d v="2016-05-30T00:00:00Z"/>
        <d v="2010-10-27T00:00:00Z"/>
        <d v="2015-11-03T00:00:00Z"/>
        <d v="2017-04-24T00:00:00Z"/>
        <d v="2016-02-16T00:00:00Z"/>
        <d v="2018-01-04T00:00:00Z"/>
        <d v="2018-10-04T00:00:00Z"/>
        <d v="2016-09-28T00:00:00Z"/>
        <d v="2014-10-16T00:00:00Z"/>
        <d v="2016-04-15T00:00:00Z"/>
        <d v="2014-07-07T00:00:00Z"/>
        <d v="2015-05-17T00:00:00Z"/>
        <d v="2017-03-10T00:00:00Z"/>
        <d v="2012-06-26T00:00:00Z"/>
        <d v="2010-10-03T00:00:00Z"/>
        <d v="2009-09-21T00:00:00Z"/>
        <d v="2019-04-08T00:00:00Z"/>
        <d v="2010-01-21T00:00:00Z"/>
        <d v="2012-04-16T00:00:00Z"/>
        <d v="2019-06-22T00:00:00Z"/>
        <d v="2020-05-08T00:00:00Z"/>
        <d v="2018-05-02T00:00:00Z"/>
        <d v="2012-07-16T00:00:00Z"/>
        <d v="2014-07-29T00:00:00Z"/>
        <d v="2014-07-03T00:00:00Z"/>
        <d v="2011-11-19T00:00:00Z"/>
        <d v="2019-07-14T00:00:00Z"/>
        <d v="2013-09-26T00:00:00Z"/>
        <d v="2011-03-02T00:00:00Z"/>
        <d v="2016-07-28T00:00:00Z"/>
        <d v="2013-07-09T00:00:00Z"/>
        <d v="2013-01-13T00:00:00Z"/>
        <d v="2016-06-03T00:00:00Z"/>
        <d v="2019-01-04T00:00:00Z"/>
        <d v="2018-03-07T00:00:00Z"/>
        <d v="2016-05-25T00:00:00Z"/>
        <d v="2019-09-08T00:00:00Z"/>
        <d v="2021-08-07T00:00:00Z"/>
        <d v="2012-12-19T00:00:00Z"/>
        <d v="2017-06-02T00:00:00Z"/>
        <d v="2021-01-12T00:00:00Z"/>
        <d v="2015-06-15T00:00:00Z"/>
        <d v="2014-04-13T00:00:00Z"/>
        <d v="2018-06-15T00:00:00Z"/>
        <d v="2019-10-28T00:00:00Z"/>
        <d v="2015-02-03T00:00:00Z"/>
        <d v="2015-10-27T00:00:00Z"/>
        <d v="2020-06-04T00:00:00Z"/>
        <d v="2017-12-22T00:00:00Z"/>
        <d v="2019-05-18T00:00:00Z"/>
        <d v="2015-03-01T00:00:00Z"/>
        <d v="2014-09-29T00:00:00Z"/>
        <d v="2015-01-23T00:00:00Z"/>
        <d v="2017-12-29T00:00:00Z"/>
        <d v="2013-06-08T00:00:00Z"/>
        <d v="2017-12-01T00:00:00Z"/>
        <d v="2012-11-30T00:00:00Z"/>
        <d v="2011-08-14T00:00:00Z"/>
        <d v="2017-09-18T00:00:00Z"/>
        <d v="2018-03-21T00:00:00Z"/>
        <d v="2012-02-25T00:00:00Z"/>
        <d v="2018-05-31T00:00:00Z"/>
        <d v="2017-12-16T00:00:00Z"/>
        <d v="2020-07-23T00:00:00Z"/>
        <d v="2015-04-23T00:00:00Z"/>
        <d v="2013-10-26T00:00:00Z"/>
        <d v="2017-01-20T00:00:00Z"/>
        <d v="2010-10-17T00:00:00Z"/>
        <d v="2012-03-02T00:00:00Z"/>
        <d v="2014-04-11T00:00:00Z"/>
        <d v="2019-01-08T00:00:00Z"/>
        <d v="2013-07-23T00:00:00Z"/>
        <d v="2013-08-19T00:00:00Z"/>
        <d v="2020-06-07T00:00:00Z"/>
        <d v="2016-04-10T00:00:00Z"/>
        <d v="2011-10-02T00:00:00Z"/>
        <d v="2012-06-01T00:00:00Z"/>
        <d v="2015-01-02T00:00:00Z"/>
        <d v="2011-08-15T00:00:00Z"/>
        <d v="2016-01-04T00:00:00Z"/>
        <d v="2017-02-21T00:00:00Z"/>
        <d v="2012-11-19T00:00:00Z"/>
        <d v="2012-07-18T00:00:00Z"/>
        <d v="2018-03-17T00:00:00Z"/>
        <d v="2014-03-23T00:00:00Z"/>
        <d v="2014-09-20T00:00:00Z"/>
        <d v="2016-01-30T00:00:00Z"/>
        <d v="2011-12-15T00:00:00Z"/>
        <d v="2016-04-23T00:00:00Z"/>
        <d v="2016-05-19T00:00:00Z"/>
        <d v="2018-12-28T00:00:00Z"/>
        <d v="2017-09-06T00:00:00Z"/>
        <d v="2020-12-06T00:00:00Z"/>
        <d v="2012-05-12T00:00:00Z"/>
        <d v="2009-09-16T00:00:00Z"/>
        <d v="2015-08-29T00:00:00Z"/>
        <d v="2016-03-29T00:00:00Z"/>
        <d v="2014-09-21T00:00:00Z"/>
        <d v="2011-02-12T00:00:00Z"/>
        <d v="2018-11-04T00:00:00Z"/>
        <d v="2011-07-15T00:00:00Z"/>
        <d v="2015-02-14T00:00:00Z"/>
        <d v="2013-04-22T00:00:00Z"/>
        <d v="2015-04-07T00:00:00Z"/>
        <d v="2018-01-05T00:00:00Z"/>
        <d v="2010-06-09T00:00:00Z"/>
        <d v="2015-10-06T00:00:00Z"/>
        <d v="2012-12-17T00:00:00Z"/>
        <d v="2009-01-15T00:00:00Z"/>
        <d v="2015-07-11T00:00:00Z"/>
        <d v="2014-02-09T00:00:00Z"/>
        <d v="2013-06-21T00:00:00Z"/>
        <d v="2012-03-18T00:00:00Z"/>
        <d v="2015-11-29T00:00:00Z"/>
        <d v="2011-05-25T00:00:00Z"/>
        <d v="2021-04-24T00:00:00Z"/>
        <d v="2014-05-09T00:00:00Z"/>
        <d v="2011-04-07T00:00:00Z"/>
        <d v="2017-10-19T00:00:00Z"/>
        <d v="2014-09-30T00:00:00Z"/>
        <d v="2015-05-14T00:00:00Z"/>
        <d v="2014-05-28T00:00:00Z"/>
        <d v="2011-04-01T00:00:00Z"/>
        <d v="2011-04-18T00:00:00Z"/>
        <d v="2011-02-28T00:00:00Z"/>
        <d v="2013-03-20T00:00:00Z"/>
        <d v="2016-01-18T00:00:00Z"/>
        <d v="2015-05-06T00:00:00Z"/>
        <d v="2016-12-22T00:00:00Z"/>
        <d v="2009-12-05T00:00:00Z"/>
        <d v="2016-02-19T00:00:00Z"/>
        <d v="2020-01-16T00:00:00Z"/>
        <d v="2019-04-17T00:00:00Z"/>
        <d v="2020-12-30T00:00:00Z"/>
        <d v="2016-11-14T00:00:00Z"/>
        <d v="2018-01-27T00:00:00Z"/>
        <d v="2015-06-13T00:00:00Z"/>
        <d v="2015-10-05T00:00:00Z"/>
        <d v="2012-08-23T00:00:00Z"/>
        <d v="2017-07-13T00:00:00Z"/>
        <d v="2014-10-28T00:00:00Z"/>
        <d v="2016-08-08T00:00:00Z"/>
        <d v="2016-01-22T00:00:00Z"/>
        <d v="2013-08-14T00:00:00Z"/>
        <d v="2014-04-01T00:00:00Z"/>
        <d v="2013-10-28T00:00:00Z"/>
        <d v="2011-03-07T00:00:00Z"/>
        <d v="2018-04-24T00:00:00Z"/>
        <d v="2017-07-30T00:00:00Z"/>
        <d v="2017-01-26T00:00:00Z"/>
        <d v="2014-06-18T00:00:00Z"/>
        <d v="2015-07-01T00:00:00Z"/>
        <d v="2012-02-08T00:00:00Z"/>
        <d v="2018-02-11T00:00:00Z"/>
        <d v="2019-11-28T00:00:00Z"/>
        <d v="2016-11-17T00:00:00Z"/>
        <d v="2014-04-16T00:00:00Z"/>
        <d v="2017-07-04T00:00:00Z"/>
        <d v="2016-05-12T00:00:00Z"/>
        <d v="2018-12-21T00:00:00Z"/>
        <d v="2018-01-03T00:00:00Z"/>
        <d v="2021-10-23T00:00:00Z"/>
        <d v="2017-01-03T00:00:00Z"/>
        <d v="2018-02-12T00:00:00Z"/>
        <d v="2017-02-05T00:00:00Z"/>
        <d v="2012-04-12T00:00:00Z"/>
        <d v="2021-03-19T00:00:00Z"/>
        <d v="2013-10-08T00:00:00Z"/>
        <d v="2015-03-19T00:00:00Z"/>
        <d v="2010-09-13T00:00:00Z"/>
        <d v="2011-12-04T00:00:00Z"/>
        <d v="2020-10-24T00:00:00Z"/>
        <d v="2020-07-04T00:00:00Z"/>
        <d v="2018-09-24T00:00:00Z"/>
        <d v="2019-06-16T00:00:00Z"/>
        <d v="2013-10-16T00:00:00Z"/>
        <d v="2015-07-09T00:00:00Z"/>
        <d v="2013-06-29T00:00:00Z"/>
        <d v="2014-02-11T00:00:00Z"/>
        <d v="2015-06-11T00:00:00Z"/>
        <d v="2015-09-14T00:00:00Z"/>
        <d v="2014-08-05T00:00:00Z"/>
        <d v="2018-02-28T00:00:00Z"/>
        <d v="2013-12-27T00:00:00Z"/>
        <d v="2014-09-05T00:00:00Z"/>
        <d v="2018-08-22T00:00:00Z"/>
        <d v="2014-01-16T00:00:00Z"/>
        <d v="2018-04-02T00:00:00Z"/>
        <d v="2014-08-20T00:00:00Z"/>
        <d v="2019-04-09T00:00:00Z"/>
        <d v="2016-02-07T00:00:00Z"/>
        <d v="2010-06-23T00:00:00Z"/>
        <d v="2013-10-31T00:00:00Z"/>
        <d v="2018-05-01T00:00:00Z"/>
        <d v="2019-07-10T00:00:00Z"/>
        <d v="2017-08-05T00:00:00Z"/>
        <d v="2018-12-02T00:00:00Z"/>
        <d v="2018-06-22T00:00:00Z"/>
        <d v="2017-03-20T00:00:00Z"/>
        <d v="2018-04-05T00:00:00Z"/>
        <d v="2011-08-22T00:00:00Z"/>
        <d v="2009-09-09T00:00:00Z"/>
        <d v="2020-11-16T00:00:00Z"/>
        <d v="2013-08-05T00:00:00Z"/>
        <d v="2015-08-10T00:00:00Z"/>
        <d v="2011-01-09T00:00:00Z"/>
        <d v="2015-05-15T00:00:00Z"/>
        <d v="2012-06-14T00:00:00Z"/>
        <d v="2020-06-30T00:00:00Z"/>
        <d v="2013-01-28T00:00:00Z"/>
        <d v="2014-06-03T00:00:00Z"/>
        <d v="2014-12-01T00:00:00Z"/>
        <d v="2017-10-17T00:00:00Z"/>
        <d v="2011-10-08T00:00:00Z"/>
        <d v="2013-12-14T00:00:00Z"/>
        <d v="2020-12-02T00:00:00Z"/>
        <d v="2013-03-14T00:00:00Z"/>
        <d v="2019-02-02T00:00:00Z"/>
        <d v="2015-04-06T00:00:00Z"/>
        <d v="2021-07-03T00:00:00Z"/>
        <d v="2019-08-24T00:00:00Z"/>
        <d v="2015-07-15T00:00:00Z"/>
        <d v="2019-05-10T00:00:00Z"/>
        <d v="2012-08-10T00:00:00Z"/>
        <d v="2014-04-02T00:00:00Z"/>
        <d v="2011-01-01T00:00:00Z"/>
        <d v="2019-09-26T00:00:00Z"/>
        <d v="2016-06-08T00:00:00Z"/>
        <d v="2020-04-11T00:00:00Z"/>
        <d v="2018-12-22T00:00:00Z"/>
        <d v="2013-08-11T00:00:00Z"/>
        <d v="2014-04-20T00:00:00Z"/>
        <d v="2019-08-14T00:00:00Z"/>
        <d v="2015-06-09T00:00:00Z"/>
        <d v="2020-08-07T00:00:00Z"/>
        <d v="2015-10-26T00:00:00Z"/>
        <d v="2013-09-07T00:00:00Z"/>
        <d v="2022-07-12T00:00:00Z"/>
        <d v="2017-04-19T00:00:00Z"/>
        <d v="2010-10-06T00:00:00Z"/>
        <d v="2015-04-30T00:00:00Z"/>
        <d v="2013-08-13T00:00:00Z"/>
        <d v="2014-09-24T00:00:00Z"/>
        <d v="2015-05-18T00:00:00Z"/>
        <d v="2015-03-13T00:00:00Z"/>
        <d v="2015-08-17T00:00:00Z"/>
        <d v="2009-04-24T00:00:00Z"/>
        <d v="2013-11-29T00:00:00Z"/>
        <d v="2014-11-18T00:00:00Z"/>
        <d v="2015-11-10T00:00:00Z"/>
        <d v="2013-11-30T00:00:00Z"/>
        <d v="2016-07-12T00:00:00Z"/>
        <d v="2012-01-05T00:00:00Z"/>
        <d v="2015-12-14T00:00:00Z"/>
        <d v="2011-02-17T00:00:00Z"/>
        <d v="2013-10-21T00:00:00Z"/>
        <d v="2020-09-29T00:00:00Z"/>
        <d v="2019-03-31T00:00:00Z"/>
        <d v="2012-10-13T00:00:00Z"/>
        <d v="2014-03-30T00:00:00Z"/>
        <d v="2019-02-26T00:00:00Z"/>
        <d v="2014-11-07T00:00:00Z"/>
        <d v="2010-12-26T00:00:00Z"/>
        <d v="2014-06-13T00:00:00Z"/>
        <d v="2019-02-07T00:00:00Z"/>
        <d v="2016-01-28T00:00:00Z"/>
        <d v="2022-04-10T00:00:00Z"/>
        <d v="2019-04-25T00:00:00Z"/>
        <d v="2014-05-25T00:00:00Z"/>
        <d v="2014-01-11T00:00:00Z"/>
        <d v="2018-08-23T00:00:00Z"/>
        <d v="2012-01-07T00:00:00Z"/>
        <d v="2014-06-07T00:00:00Z"/>
        <d v="2017-12-10T00:00:00Z"/>
        <d v="2016-11-12T00:00:00Z"/>
        <d v="2016-01-07T00:00:00Z"/>
        <d v="2018-11-01T00:00:00Z"/>
        <d v="2014-05-02T00:00:00Z"/>
        <d v="2016-08-01T00:00:00Z"/>
        <d v="2016-04-26T00:00:00Z"/>
        <d v="2015-07-07T00:00:00Z"/>
        <d v="2016-11-13T00:00:00Z"/>
        <d v="2015-10-13T00:00:00Z"/>
        <d v="2018-10-17T00:00:00Z"/>
        <d v="2015-08-31T00:00:00Z"/>
        <d v="2013-07-28T00:00:00Z"/>
        <d v="2012-05-10T00:00:00Z"/>
        <d v="2010-02-27T00:00:00Z"/>
        <d v="2012-03-05T00:00:00Z"/>
        <d v="2010-11-22T00:00:00Z"/>
        <d v="2014-11-03T00:00:00Z"/>
        <d v="2010-12-29T00:00:00Z"/>
        <d v="2013-10-27T00:00:00Z"/>
        <d v="2018-11-12T00:00:00Z"/>
        <d v="2018-10-09T00:00:00Z"/>
        <d v="2014-04-05T00:00:00Z"/>
        <d v="2014-06-12T00:00:00Z"/>
        <d v="2022-04-16T00:00:00Z"/>
        <d v="2014-07-05T00:00:00Z"/>
        <d v="2016-10-02T00:00:00Z"/>
        <d v="2013-01-15T00:00:00Z"/>
        <d v="2017-03-01T00:00:00Z"/>
        <d v="2018-08-05T00:00:00Z"/>
        <d v="2020-02-20T00:00:00Z"/>
        <d v="2015-03-02T00:00:00Z"/>
        <d v="2018-04-30T00:00:00Z"/>
        <d v="2019-07-11T00:00:00Z"/>
        <d v="2014-05-20T00:00:00Z"/>
        <d v="2012-09-16T00:00:00Z"/>
        <d v="2014-07-04T00:00:00Z"/>
        <d v="2016-10-20T00:00:00Z"/>
        <d v="2013-08-03T00:00:00Z"/>
        <d v="2017-06-12T00:00:00Z"/>
        <d v="2014-08-17T00:00:00Z"/>
        <d v="2015-06-30T00:00:00Z"/>
        <d v="2015-11-17T00:00:00Z"/>
        <d v="2014-05-22T00:00:00Z"/>
        <d v="2017-08-29T00:00:00Z"/>
        <d v="2018-08-14T00:00:00Z"/>
        <d v="2020-10-09T00:00:00Z"/>
        <d v="2013-12-12T00:00:00Z"/>
        <d v="2013-07-13T00:00:00Z"/>
        <d v="2019-06-19T00:00:00Z"/>
        <d v="2016-08-24T00:00:00Z"/>
        <d v="2016-12-26T00:00:00Z"/>
        <d v="2019-07-04T00:00:00Z"/>
        <d v="2016-08-15T00:00:00Z"/>
        <d v="2014-06-05T00:00:00Z"/>
        <d v="2015-08-07T00:00:00Z"/>
        <d v="2017-02-15T00:00:00Z"/>
        <d v="2019-09-04T00:00:00Z"/>
        <d v="2011-04-30T00:00:00Z"/>
        <d v="2019-01-10T00:00:00Z"/>
        <d v="2016-02-15T00:00:00Z"/>
        <d v="2011-11-09T00:00:00Z"/>
        <d v="2016-10-27T00:00:00Z"/>
        <d v="2018-12-14T00:00:00Z"/>
        <d v="2009-12-24T00:00:00Z"/>
        <d v="2014-05-19T00:00:00Z"/>
        <d v="2011-08-23T00:00:00Z"/>
        <d v="2019-08-09T00:00:00Z"/>
        <d v="2017-06-03T00:00:00Z"/>
        <d v="2017-05-10T00:00:00Z"/>
        <d v="2009-09-20T00:00:00Z"/>
        <d v="2013-12-16T00:00:00Z"/>
        <d v="2014-04-07T00:00:00Z"/>
        <d v="2016-08-19T00:00:00Z"/>
        <d v="2014-05-18T00:00:00Z"/>
        <d v="2019-06-13T00:00:00Z"/>
        <d v="2019-12-08T00:00:00Z"/>
        <d v="2014-01-20T00:00:00Z"/>
        <d v="2012-06-08T00:00:00Z"/>
        <d v="2015-10-07T00:00:00Z"/>
        <d v="2012-08-09T00:00:00Z"/>
        <d v="2015-08-25T00:00:00Z"/>
        <d v="2013-05-14T00:00:00Z"/>
      </sharedItems>
    </cacheField>
    <cacheField name="Hora de Criação" numFmtId="165">
      <sharedItems containsSemiMixedTypes="0" containsDate="1" containsString="0">
        <d v="1899-12-30T17:49:19Z"/>
        <d v="1899-12-30T07:31:14Z"/>
        <d v="1899-12-30T06:50:37Z"/>
        <d v="1899-12-30T02:34:12Z"/>
        <d v="1899-12-30T13:42:37Z"/>
        <d v="1899-12-30T13:45:52Z"/>
        <d v="1899-12-30T23:49:42Z"/>
        <d v="1899-12-30T03:24:51Z"/>
        <d v="1899-12-30T16:15:28Z"/>
        <d v="1899-12-30T16:15:54Z"/>
        <d v="1899-12-30T01:19:20Z"/>
        <d v="1899-12-30T12:03:18Z"/>
        <d v="1899-12-30T21:19:00Z"/>
        <d v="1899-12-30T02:37:24Z"/>
        <d v="1899-12-30T14:56:24Z"/>
        <d v="1899-12-30T18:15:37Z"/>
        <d v="1899-12-30T07:47:04Z"/>
        <d v="1899-12-30T22:54:58Z"/>
        <d v="1899-12-30T09:44:01Z"/>
        <d v="1899-12-30T21:00:06Z"/>
        <d v="1899-12-30T20:17:14Z"/>
        <d v="1899-12-30T22:48:12Z"/>
        <d v="1899-12-30T20:23:38Z"/>
        <d v="1899-12-30T13:27:00Z"/>
        <d v="1899-12-30T23:13:50Z"/>
        <d v="1899-12-30T16:05:52Z"/>
        <d v="1899-12-30T00:18:39Z"/>
        <d v="1899-12-30T14:35:07Z"/>
        <d v="1899-12-30T09:01:23Z"/>
        <d v="1899-12-30T15:11:03Z"/>
        <d v="1899-12-30T18:10:16Z"/>
        <d v="1899-12-30T01:47:36Z"/>
        <d v="1899-12-30T04:33:40Z"/>
        <d v="1899-12-30T17:22:42Z"/>
        <d v="1899-12-30T17:35:03Z"/>
        <d v="1899-12-30T02:33:17Z"/>
        <d v="1899-12-30T14:55:11Z"/>
        <d v="1899-12-30T22:30:27Z"/>
        <d v="1899-12-30T01:59:19Z"/>
        <d v="1899-12-30T23:32:51Z"/>
        <d v="1899-12-30T22:56:04Z"/>
        <d v="1899-12-30T19:57:11Z"/>
        <d v="1899-12-30T13:42:15Z"/>
        <d v="1899-12-30T18:38:22Z"/>
        <d v="1899-12-30T01:34:26Z"/>
        <d v="1899-12-30T18:58:01Z"/>
        <d v="1899-12-30T15:28:39Z"/>
        <d v="1899-12-30T16:12:01Z"/>
        <d v="1899-12-30T15:37:24Z"/>
        <d v="1899-12-30T08:33:19Z"/>
        <d v="1899-12-30T19:11:54Z"/>
        <d v="1899-12-30T22:16:13Z"/>
        <d v="1899-12-30T03:35:49Z"/>
        <d v="1899-12-30T05:00:48Z"/>
        <d v="1899-12-30T17:44:02Z"/>
        <d v="1899-12-30T16:45:18Z"/>
        <d v="1899-12-30T10:43:14Z"/>
        <d v="1899-12-30T05:07:46Z"/>
        <d v="1899-12-30T10:07:38Z"/>
        <d v="1899-12-30T01:15:20Z"/>
        <d v="1899-12-30T04:23:44Z"/>
        <d v="1899-12-30T15:08:04Z"/>
        <d v="1899-12-30T22:25:41Z"/>
        <d v="1899-12-30T08:01:22Z"/>
        <d v="1899-12-30T20:39:03Z"/>
        <d v="1899-12-30T03:06:08Z"/>
        <d v="1899-12-30T14:19:43Z"/>
        <d v="1899-12-30T18:00:27Z"/>
        <d v="1899-12-30T13:56:00Z"/>
        <d v="1899-12-30T20:49:53Z"/>
        <d v="1899-12-30T00:16:14Z"/>
        <d v="1899-12-30T02:47:18Z"/>
        <d v="1899-12-30T15:16:43Z"/>
        <d v="1899-12-30T19:32:38Z"/>
        <d v="1899-12-30T11:38:30Z"/>
        <d v="1899-12-30T18:10:57Z"/>
        <d v="1899-12-30T14:31:41Z"/>
        <d v="1899-12-30T09:40:17Z"/>
        <d v="1899-12-30T13:21:13Z"/>
        <d v="1899-12-30T15:02:57Z"/>
        <d v="1899-12-30T23:57:25Z"/>
        <d v="1899-12-30T18:13:05Z"/>
        <d v="1899-12-30T10:08:14Z"/>
        <d v="1899-12-30T18:54:22Z"/>
        <d v="1899-12-30T10:12:36Z"/>
        <d v="1899-12-30T13:18:26Z"/>
        <d v="1899-12-30T15:26:26Z"/>
        <d v="1899-12-30T13:20:56Z"/>
        <d v="1899-12-30T01:11:44Z"/>
        <d v="1899-12-30T17:47:47Z"/>
        <d v="1899-12-30T21:15:07Z"/>
        <d v="1899-12-30T18:39:10Z"/>
        <d v="1899-12-30T11:11:59Z"/>
        <d v="1899-12-30T14:59:14Z"/>
        <d v="1899-12-30T00:34:37Z"/>
        <d v="1899-12-30T15:24:59Z"/>
        <d v="1899-12-30T23:53:15Z"/>
        <d v="1899-12-30T06:24:11Z"/>
        <d v="1899-12-30T18:18:21Z"/>
        <d v="1899-12-30T13:39:55Z"/>
        <d v="1899-12-30T05:26:41Z"/>
        <d v="1899-12-30T18:56:01Z"/>
        <d v="1899-12-30T18:19:25Z"/>
        <d v="1899-12-30T23:56:36Z"/>
        <d v="1899-12-30T21:06:26Z"/>
        <d v="1899-12-30T13:39:22Z"/>
        <d v="1899-12-30T18:36:56Z"/>
        <d v="1899-12-30T13:30:58Z"/>
        <d v="1899-12-30T15:20:14Z"/>
        <d v="1899-12-30T18:24:48Z"/>
        <d v="1899-12-30T02:44:00Z"/>
        <d v="1899-12-30T22:32:25Z"/>
        <d v="1899-12-30T03:27:22Z"/>
        <d v="1899-12-30T16:50:41Z"/>
        <d v="1899-12-30T00:35:42Z"/>
        <d v="1899-12-30T15:52:15Z"/>
        <d v="1899-12-30T19:11:19Z"/>
        <d v="1899-12-30T15:47:10Z"/>
        <d v="1899-12-30T23:34:10Z"/>
        <d v="1899-12-30T07:54:16Z"/>
        <d v="1899-12-30T22:00:57Z"/>
        <d v="1899-12-30T07:29:48Z"/>
        <d v="1899-12-30T14:58:02Z"/>
        <d v="1899-12-30T04:11:46Z"/>
        <d v="1899-12-30T23:54:00Z"/>
        <d v="1899-12-30T22:43:05Z"/>
        <d v="1899-12-30T15:45:02Z"/>
        <d v="1899-12-30T18:03:24Z"/>
        <d v="1899-12-30T06:19:26Z"/>
        <d v="1899-12-30T16:05:36Z"/>
        <d v="1899-12-30T15:33:47Z"/>
        <d v="1899-12-30T03:18:59Z"/>
        <d v="1899-12-30T13:27:04Z"/>
        <d v="1899-12-30T02:19:47Z"/>
        <d v="1899-12-30T09:43:38Z"/>
        <d v="1899-12-30T06:20:50Z"/>
        <d v="1899-12-30T15:59:56Z"/>
        <d v="1899-12-30T05:31:44Z"/>
        <d v="1899-12-30T23:32:04Z"/>
        <d v="1899-12-30T20:12:52Z"/>
        <d v="1899-12-30T23:52:32Z"/>
        <d v="1899-12-30T09:13:51Z"/>
        <d v="1899-12-30T09:48:17Z"/>
        <d v="1899-12-30T09:09:37Z"/>
        <d v="1899-12-30T04:04:45Z"/>
        <d v="1899-12-30T06:36:45Z"/>
        <d v="1899-12-30T08:21:47Z"/>
        <d v="1899-12-30T10:20:25Z"/>
        <d v="1899-12-30T18:38:17Z"/>
        <d v="1899-12-30T22:22:51Z"/>
        <d v="1899-12-30T23:06:02Z"/>
        <d v="1899-12-30T18:55:34Z"/>
        <d v="1899-12-30T03:01:56Z"/>
        <d v="1899-12-30T20:25:17Z"/>
        <d v="1899-12-30T10:21:02Z"/>
        <d v="1899-12-30T15:34:48Z"/>
        <d v="1899-12-30T19:23:51Z"/>
        <d v="1899-12-30T08:26:27Z"/>
        <d v="1899-12-30T02:46:06Z"/>
        <d v="1899-12-30T05:03:57Z"/>
        <d v="1899-12-30T10:43:49Z"/>
        <d v="1899-12-30T16:04:23Z"/>
        <d v="1899-12-30T18:50:58Z"/>
        <d v="1899-12-30T18:04:59Z"/>
        <d v="1899-12-30T18:01:28Z"/>
        <d v="1899-12-30T20:11:48Z"/>
        <d v="1899-12-30T13:35:34Z"/>
        <d v="1899-12-30T09:48:21Z"/>
        <d v="1899-12-30T23:48:34Z"/>
        <d v="1899-12-30T13:15:24Z"/>
        <d v="1899-12-30T21:52:39Z"/>
        <d v="1899-12-30T16:23:17Z"/>
        <d v="1899-12-30T15:53:36Z"/>
        <d v="1899-12-30T06:29:03Z"/>
        <d v="1899-12-30T10:34:22Z"/>
        <d v="1899-12-30T19:05:09Z"/>
        <d v="1899-12-30T02:01:14Z"/>
        <d v="1899-12-30T11:14:12Z"/>
        <d v="1899-12-30T17:13:37Z"/>
        <d v="1899-12-30T01:45:03Z"/>
        <d v="1899-12-30T14:40:35Z"/>
        <d v="1899-12-30T03:48:40Z"/>
        <d v="1899-12-30T14:21:26Z"/>
        <d v="1899-12-30T23:48:03Z"/>
        <d v="1899-12-30T19:53:36Z"/>
        <d v="1899-12-30T21:37:45Z"/>
        <d v="1899-12-30T01:58:17Z"/>
        <d v="1899-12-30T20:57:20Z"/>
        <d v="1899-12-30T13:42:55Z"/>
        <d v="1899-12-30T11:20:39Z"/>
        <d v="1899-12-30T17:29:58Z"/>
        <d v="1899-12-30T12:21:03Z"/>
        <d v="1899-12-30T19:45:03Z"/>
        <d v="1899-12-30T11:45:27Z"/>
        <d v="1899-12-30T18:36:49Z"/>
        <d v="1899-12-30T14:21:19Z"/>
        <d v="1899-12-30T09:44:13Z"/>
        <d v="1899-12-30T17:02:11Z"/>
        <d v="1899-12-30T18:32:42Z"/>
        <d v="1899-12-30T02:52:40Z"/>
        <d v="1899-12-30T13:42:07Z"/>
        <d v="1899-12-30T05:02:30Z"/>
        <d v="1899-12-30T01:30:18Z"/>
        <d v="1899-12-30T13:38:23Z"/>
        <d v="1899-12-30T16:36:47Z"/>
        <d v="1899-12-30T11:18:47Z"/>
        <d v="1899-12-30T21:57:21Z"/>
        <d v="1899-12-30T11:09:13Z"/>
        <d v="1899-12-30T17:39:16Z"/>
        <d v="1899-12-30T11:49:35Z"/>
        <d v="1899-12-30T01:57:08Z"/>
        <d v="1899-12-30T14:29:47Z"/>
        <d v="1899-12-30T02:40:31Z"/>
        <d v="1899-12-30T16:39:45Z"/>
        <d v="1899-12-30T07:29:07Z"/>
        <d v="1899-12-30T21:39:43Z"/>
        <d v="1899-12-30T01:34:05Z"/>
        <d v="1899-12-30T16:03:45Z"/>
        <d v="1899-12-30T03:46:40Z"/>
        <d v="1899-12-30T11:42:53Z"/>
        <d v="1899-12-30T07:01:50Z"/>
        <d v="1899-12-30T00:46:28Z"/>
        <d v="1899-12-30T09:26:44Z"/>
        <d v="1899-12-30T07:34:43Z"/>
        <d v="1899-12-30T00:18:04Z"/>
        <d v="1899-12-30T06:32:03Z"/>
        <d v="1899-12-30T13:37:27Z"/>
        <d v="1899-12-30T08:51:11Z"/>
        <d v="1899-12-30T19:04:02Z"/>
        <d v="1899-12-30T15:28:09Z"/>
        <d v="1899-12-30T20:35:09Z"/>
        <d v="1899-12-30T06:21:10Z"/>
        <d v="1899-12-30T06:01:21Z"/>
        <d v="1899-12-30T13:05:46Z"/>
        <d v="1899-12-30T20:48:23Z"/>
        <d v="1899-12-30T01:49:20Z"/>
        <d v="1899-12-30T00:27:45Z"/>
        <d v="1899-12-30T19:35:38Z"/>
        <d v="1899-12-30T20:04:48Z"/>
        <d v="1899-12-30T15:19:19Z"/>
        <d v="1899-12-30T15:02:55Z"/>
        <d v="1899-12-30T09:11:43Z"/>
        <d v="1899-12-30T05:56:19Z"/>
        <d v="1899-12-30T05:56:49Z"/>
        <d v="1899-12-30T07:56:02Z"/>
        <d v="1899-12-30T04:31:17Z"/>
        <d v="1899-12-30T03:25:25Z"/>
        <d v="1899-12-30T09:06:10Z"/>
        <d v="1899-12-30T22:40:50Z"/>
        <d v="1899-12-30T06:41:32Z"/>
        <d v="1899-12-30T16:13:53Z"/>
        <d v="1899-12-30T03:32:25Z"/>
        <d v="1899-12-30T08:52:39Z"/>
        <d v="1899-12-30T22:23:19Z"/>
        <d v="1899-12-30T10:52:23Z"/>
        <d v="1899-12-30T16:38:42Z"/>
        <d v="1899-12-30T03:13:43Z"/>
        <d v="1899-12-30T05:33:03Z"/>
        <d v="1899-12-30T06:00:31Z"/>
        <d v="1899-12-30T08:43:36Z"/>
        <d v="1899-12-30T00:25:55Z"/>
        <d v="1899-12-30T08:56:15Z"/>
        <d v="1899-12-30T04:08:16Z"/>
        <d v="1899-12-30T09:35:02Z"/>
        <d v="1899-12-30T17:00:38Z"/>
        <d v="1899-12-30T01:33:30Z"/>
        <d v="1899-12-30T14:24:36Z"/>
        <d v="1899-12-30T16:57:44Z"/>
        <d v="1899-12-30T11:57:57Z"/>
        <d v="1899-12-30T16:05:25Z"/>
        <d v="1899-12-30T18:58:53Z"/>
        <d v="1899-12-30T15:17:08Z"/>
        <d v="1899-12-30T20:22:52Z"/>
        <d v="1899-12-30T00:39:35Z"/>
        <d v="1899-12-30T01:37:33Z"/>
        <d v="1899-12-30T14:30:48Z"/>
        <d v="1899-12-30T19:40:08Z"/>
        <d v="1899-12-30T22:59:10Z"/>
        <d v="1899-12-30T13:23:55Z"/>
        <d v="1899-12-30T21:02:35Z"/>
        <d v="1899-12-30T23:41:35Z"/>
        <d v="1899-12-30T04:30:06Z"/>
        <d v="1899-12-30T21:24:39Z"/>
        <d v="1899-12-30T19:23:58Z"/>
        <d v="1899-12-30T16:29:46Z"/>
        <d v="1899-12-30T04:40:24Z"/>
        <d v="1899-12-30T22:15:24Z"/>
        <d v="1899-12-30T13:10:00Z"/>
        <d v="1899-12-30T16:19:57Z"/>
        <d v="1899-12-30T01:52:25Z"/>
        <d v="1899-12-30T16:33:26Z"/>
        <d v="1899-12-30T06:54:19Z"/>
        <d v="1899-12-30T11:58:29Z"/>
        <d v="1899-12-30T03:27:48Z"/>
        <d v="1899-12-30T22:25:48Z"/>
        <d v="1899-12-30T18:45:10Z"/>
        <d v="1899-12-30T08:53:02Z"/>
        <d v="1899-12-30T05:50:01Z"/>
        <d v="1899-12-30T08:00:08Z"/>
        <d v="1899-12-30T21:14:40Z"/>
        <d v="1899-12-30T17:24:12Z"/>
        <d v="1899-12-30T23:23:18Z"/>
        <d v="1899-12-30T09:36:55Z"/>
        <d v="1899-12-30T15:44:01Z"/>
        <d v="1899-12-30T21:28:44Z"/>
        <d v="1899-12-30T10:12:43Z"/>
        <d v="1899-12-30T13:10:49Z"/>
        <d v="1899-12-30T05:08:38Z"/>
        <d v="1899-12-30T11:45:05Z"/>
        <d v="1899-12-30T22:42:42Z"/>
        <d v="1899-12-30T11:49:48Z"/>
        <d v="1899-12-30T18:53:45Z"/>
        <d v="1899-12-30T16:08:50Z"/>
        <d v="1899-12-30T22:52:33Z"/>
        <d v="1899-12-30T07:36:09Z"/>
        <d v="1899-12-30T11:46:51Z"/>
        <d v="1899-12-30T18:39:48Z"/>
        <d v="1899-12-30T13:40:29Z"/>
        <d v="1899-12-30T23:56:08Z"/>
        <d v="1899-12-30T02:02:33Z"/>
        <d v="1899-12-30T11:12:28Z"/>
        <d v="1899-12-30T20:58:42Z"/>
        <d v="1899-12-30T10:40:44Z"/>
        <d v="1899-12-30T12:27:51Z"/>
        <d v="1899-12-30T02:40:18Z"/>
        <d v="1899-12-30T00:48:17Z"/>
        <d v="1899-12-30T05:26:06Z"/>
        <d v="1899-12-30T23:04:55Z"/>
        <d v="1899-12-30T14:15:27Z"/>
        <d v="1899-12-30T17:30:16Z"/>
        <d v="1899-12-30T19:11:45Z"/>
        <d v="1899-12-30T06:02:29Z"/>
        <d v="1899-12-30T13:49:36Z"/>
        <d v="1899-12-30T04:01:52Z"/>
        <d v="1899-12-30T22:01:33Z"/>
        <d v="1899-12-30T01:04:43Z"/>
        <d v="1899-12-30T22:57:34Z"/>
        <d v="1899-12-30T15:19:33Z"/>
        <d v="1899-12-30T02:13:26Z"/>
        <d v="1899-12-30T19:58:06Z"/>
        <d v="1899-12-30T22:06:41Z"/>
        <d v="1899-12-30T02:35:33Z"/>
        <d v="1899-12-30T18:26:36Z"/>
        <d v="1899-12-30T21:49:41Z"/>
        <d v="1899-12-30T04:26:18Z"/>
        <d v="1899-12-30T17:51:11Z"/>
        <d v="1899-12-30T01:39:33Z"/>
        <d v="1899-12-30T20:22:19Z"/>
        <d v="1899-12-30T09:32:26Z"/>
        <d v="1899-12-30T19:18:59Z"/>
        <d v="1899-12-30T10:16:05Z"/>
        <d v="1899-12-30T08:47:49Z"/>
        <d v="1899-12-30T03:47:24Z"/>
        <d v="1899-12-30T23:32:34Z"/>
        <d v="1899-12-30T05:56:42Z"/>
        <d v="1899-12-30T17:08:21Z"/>
        <d v="1899-12-30T09:35:51Z"/>
        <d v="1899-12-30T14:12:38Z"/>
        <d v="1899-12-30T05:47:09Z"/>
        <d v="1899-12-30T18:18:32Z"/>
        <d v="1899-12-30T05:09:01Z"/>
        <d v="1899-12-30T23:57:21Z"/>
        <d v="1899-12-30T03:29:13Z"/>
        <d v="1899-12-30T19:25:52Z"/>
        <d v="1899-12-30T23:53:37Z"/>
        <d v="1899-12-30T09:08:59Z"/>
        <d v="1899-12-30T15:35:32Z"/>
        <d v="1899-12-30T02:50:28Z"/>
        <d v="1899-12-30T19:50:59Z"/>
        <d v="1899-12-30T07:18:45Z"/>
        <d v="1899-12-30T15:20:15Z"/>
        <d v="1899-12-30T12:59:15Z"/>
        <d v="1899-12-30T12:05:42Z"/>
        <d v="1899-12-30T17:18:38Z"/>
        <d v="1899-12-30T16:56:31Z"/>
        <d v="1899-12-30T04:12:04Z"/>
        <d v="1899-12-30T04:22:55Z"/>
        <d v="1899-12-30T03:44:27Z"/>
        <d v="1899-12-30T12:23:40Z"/>
        <d v="1899-12-30T10:40:00Z"/>
        <d v="1899-12-30T19:09:45Z"/>
        <d v="1899-12-30T11:49:00Z"/>
        <d v="1899-12-30T14:28:14Z"/>
        <d v="1899-12-30T21:17:52Z"/>
        <d v="1899-12-30T17:15:57Z"/>
        <d v="1899-12-30T02:47:15Z"/>
        <d v="1899-12-30T02:57:06Z"/>
        <d v="1899-12-30T23:47:10Z"/>
        <d v="1899-12-30T03:45:11Z"/>
        <d v="1899-12-30T21:40:56Z"/>
        <d v="1899-12-30T04:16:53Z"/>
        <d v="1899-12-30T14:07:27Z"/>
        <d v="1899-12-30T15:01:25Z"/>
        <d v="1899-12-30T09:22:21Z"/>
        <d v="1899-12-30T03:15:11Z"/>
        <d v="1899-12-30T10:24:22Z"/>
        <d v="1899-12-30T15:24:53Z"/>
        <d v="1899-12-30T18:51:48Z"/>
        <d v="1899-12-30T19:25:47Z"/>
        <d v="1899-12-30T18:16:07Z"/>
        <d v="1899-12-30T23:11:20Z"/>
        <d v="1899-12-30T08:31:38Z"/>
        <d v="1899-12-30T06:09:42Z"/>
        <d v="1899-12-30T20:05:37Z"/>
        <d v="1899-12-30T23:05:42Z"/>
        <d v="1899-12-30T05:44:19Z"/>
        <d v="1899-12-30T00:53:06Z"/>
        <d v="1899-12-30T02:52:20Z"/>
        <d v="1899-12-30T07:41:14Z"/>
        <d v="1899-12-30T07:52:01Z"/>
        <d v="1899-12-30T18:29:30Z"/>
        <d v="1899-12-30T22:03:53Z"/>
        <d v="1899-12-30T08:18:58Z"/>
        <d v="1899-12-30T19:54:45Z"/>
        <d v="1899-12-30T11:45:28Z"/>
        <d v="1899-12-30T14:58:51Z"/>
        <d v="1899-12-30T02:25:18Z"/>
        <d v="1899-12-30T02:32:08Z"/>
        <d v="1899-12-30T17:31:21Z"/>
        <d v="1899-12-30T14:36:32Z"/>
        <d v="1899-12-30T12:42:53Z"/>
        <d v="1899-12-30T20:33:19Z"/>
        <d v="1899-12-30T15:59:02Z"/>
        <d v="1899-12-30T04:10:13Z"/>
        <d v="1899-12-30T06:57:52Z"/>
        <d v="1899-12-30T14:59:16Z"/>
        <d v="1899-12-30T14:27:54Z"/>
        <d v="1899-12-30T20:40:26Z"/>
        <d v="1899-12-30T21:03:56Z"/>
        <d v="1899-12-30T16:17:32Z"/>
        <d v="1899-12-30T18:07:54Z"/>
        <d v="1899-12-30T03:23:12Z"/>
        <d v="1899-12-30T13:15:51Z"/>
        <d v="1899-12-30T06:15:51Z"/>
        <d v="1899-12-30T10:45:10Z"/>
        <d v="1899-12-30T06:13:20Z"/>
        <d v="1899-12-30T08:26:28Z"/>
        <d v="1899-12-30T06:09:10Z"/>
        <d v="1899-12-30T15:36:08Z"/>
        <d v="1899-12-30T05:32:33Z"/>
        <d v="1899-12-30T19:56:33Z"/>
        <d v="1899-12-30T19:41:28Z"/>
        <d v="1899-12-30T10:04:33Z"/>
        <d v="1899-12-30T10:24:45Z"/>
        <d v="1899-12-30T12:56:33Z"/>
        <d v="1899-12-30T07:57:36Z"/>
        <d v="1899-12-30T03:37:15Z"/>
        <d v="1899-12-30T23:54:16Z"/>
        <d v="1899-12-30T02:02:53Z"/>
        <d v="1899-12-30T04:21:26Z"/>
        <d v="1899-12-30T21:27:28Z"/>
        <d v="1899-12-30T21:01:30Z"/>
        <d v="1899-12-30T02:10:05Z"/>
        <d v="1899-12-30T06:17:10Z"/>
        <d v="1899-12-30T16:19:29Z"/>
        <d v="1899-12-30T15:42:12Z"/>
        <d v="1899-12-30T12:14:21Z"/>
        <d v="1899-12-30T01:23:31Z"/>
        <d v="1899-12-30T14:21:21Z"/>
        <d v="1899-12-30T02:49:52Z"/>
        <d v="1899-12-30T15:07:53Z"/>
        <d v="1899-12-30T21:02:59Z"/>
        <d v="1899-12-30T19:38:37Z"/>
        <d v="1899-12-30T09:41:48Z"/>
        <d v="1899-12-30T10:17:55Z"/>
        <d v="1899-12-30T10:24:23Z"/>
        <d v="1899-12-30T03:14:19Z"/>
        <d v="1899-12-30T18:04:58Z"/>
        <d v="1899-12-30T13:33:06Z"/>
        <d v="1899-12-30T19:53:43Z"/>
        <d v="1899-12-30T11:40:58Z"/>
        <d v="1899-12-30T14:07:40Z"/>
        <d v="1899-12-30T08:53:00Z"/>
        <d v="1899-12-30T18:44:57Z"/>
        <d v="1899-12-30T17:56:12Z"/>
        <d v="1899-12-30T09:06:50Z"/>
        <d v="1899-12-30T08:16:40Z"/>
        <d v="1899-12-30T06:36:16Z"/>
        <d v="1899-12-30T07:11:11Z"/>
        <d v="1899-12-30T23:06:48Z"/>
        <d v="1899-12-30T01:05:58Z"/>
        <d v="1899-12-30T22:49:02Z"/>
        <d v="1899-12-30T18:31:06Z"/>
        <d v="1899-12-30T00:34:25Z"/>
        <d v="1899-12-30T21:45:16Z"/>
        <d v="1899-12-30T04:09:54Z"/>
        <d v="1899-12-30T01:54:18Z"/>
        <d v="1899-12-30T06:27:29Z"/>
        <d v="1899-12-30T08:12:03Z"/>
        <d v="1899-12-30T00:06:14Z"/>
        <d v="1899-12-30T22:32:22Z"/>
        <d v="1899-12-30T20:34:23Z"/>
        <d v="1899-12-30T14:27:35Z"/>
        <d v="1899-12-30T12:56:48Z"/>
        <d v="1899-12-30T09:04:08Z"/>
        <d v="1899-12-30T19:37:55Z"/>
        <d v="1899-12-30T21:20:25Z"/>
        <d v="1899-12-30T10:49:00Z"/>
        <d v="1899-12-30T21:36:39Z"/>
        <d v="1899-12-30T03:42:48Z"/>
        <d v="1899-12-30T15:38:58Z"/>
        <d v="1899-12-30T23:32:55Z"/>
        <d v="1899-12-30T05:12:51Z"/>
        <d v="1899-12-30T13:55:30Z"/>
        <d v="1899-12-30T23:14:12Z"/>
        <d v="1899-12-30T10:49:12Z"/>
        <d v="1899-12-30T10:04:08Z"/>
        <d v="1899-12-30T12:32:33Z"/>
        <d v="1899-12-30T12:36:07Z"/>
        <d v="1899-12-30T08:18:59Z"/>
        <d v="1899-12-30T15:23:24Z"/>
        <d v="1899-12-30T05:37:47Z"/>
        <d v="1899-12-30T14:31:38Z"/>
        <d v="1899-12-30T19:49:37Z"/>
        <d v="1899-12-30T07:54:44Z"/>
        <d v="1899-12-30T01:25:14Z"/>
        <d v="1899-12-30T15:41:56Z"/>
        <d v="1899-12-30T09:49:48Z"/>
        <d v="1899-12-30T17:55:49Z"/>
        <d v="1899-12-30T00:18:47Z"/>
        <d v="1899-12-30T00:26:19Z"/>
        <d v="1899-12-30T10:10:13Z"/>
        <d v="1899-12-30T22:36:09Z"/>
        <d v="1899-12-30T18:43:12Z"/>
        <d v="1899-12-30T04:23:20Z"/>
        <d v="1899-12-30T08:08:13Z"/>
        <d v="1899-12-30T00:15:59Z"/>
        <d v="1899-12-30T11:58:03Z"/>
        <d v="1899-12-30T17:32:00Z"/>
        <d v="1899-12-30T13:44:03Z"/>
        <d v="1899-12-30T20:13:23Z"/>
        <d v="1899-12-30T22:15:27Z"/>
        <d v="1899-12-30T03:24:20Z"/>
        <d v="1899-12-30T04:36:24Z"/>
        <d v="1899-12-30T01:52:42Z"/>
        <d v="1899-12-30T10:07:27Z"/>
        <d v="1899-12-30T01:03:11Z"/>
        <d v="1899-12-30T03:31:23Z"/>
        <d v="1899-12-30T08:28:18Z"/>
        <d v="1899-12-30T13:33:47Z"/>
        <d v="1899-12-30T14:35:09Z"/>
        <d v="1899-12-30T04:27:45Z"/>
        <d v="1899-12-30T14:56:32Z"/>
        <d v="1899-12-30T07:18:52Z"/>
        <d v="1899-12-30T06:58:52Z"/>
        <d v="1899-12-30T09:09:09Z"/>
        <d v="1899-12-30T03:14:08Z"/>
        <d v="1899-12-30T16:53:36Z"/>
        <d v="1899-12-30T10:43:36Z"/>
        <d v="1899-12-30T09:50:50Z"/>
        <d v="1899-12-30T14:06:31Z"/>
        <d v="1899-12-30T19:48:39Z"/>
        <d v="1899-12-30T15:46:28Z"/>
        <d v="1899-12-30T08:57:51Z"/>
        <d v="1899-12-30T18:42:48Z"/>
        <d v="1899-12-30T19:10:14Z"/>
        <d v="1899-12-30T21:39:05Z"/>
        <d v="1899-12-30T18:29:12Z"/>
        <d v="1899-12-30T22:38:35Z"/>
        <d v="1899-12-30T13:58:02Z"/>
        <d v="1899-12-30T01:57:42Z"/>
        <d v="1899-12-30T07:29:15Z"/>
        <d v="1899-12-30T07:41:47Z"/>
        <d v="1899-12-30T09:52:15Z"/>
        <d v="1899-12-30T12:50:52Z"/>
        <d v="1899-12-30T17:39:19Z"/>
        <d v="1899-12-30T16:36:25Z"/>
        <d v="1899-12-30T21:27:10Z"/>
        <d v="1899-12-30T08:34:27Z"/>
        <d v="1899-12-30T03:12:14Z"/>
        <d v="1899-12-30T09:24:21Z"/>
        <d v="1899-12-30T10:38:16Z"/>
        <d v="1899-12-30T03:46:34Z"/>
        <d v="1899-12-30T00:48:07Z"/>
        <d v="1899-12-30T02:48:44Z"/>
        <d v="1899-12-30T16:55:40Z"/>
        <d v="1899-12-30T00:07:51Z"/>
        <d v="1899-12-30T15:15:40Z"/>
        <d v="1899-12-30T19:50:47Z"/>
        <d v="1899-12-30T08:45:45Z"/>
        <d v="1899-12-30T14:31:10Z"/>
        <d v="1899-12-30T17:13:56Z"/>
        <d v="1899-12-30T01:52:59Z"/>
        <d v="1899-12-30T07:44:22Z"/>
        <d v="1899-12-30T10:59:52Z"/>
        <d v="1899-12-30T06:48:30Z"/>
        <d v="1899-12-30T18:19:14Z"/>
        <d v="1899-12-30T15:39:32Z"/>
        <d v="1899-12-30T13:38:42Z"/>
        <d v="1899-12-30T10:09:03Z"/>
        <d v="1899-12-30T13:38:40Z"/>
        <d v="1899-12-30T03:53:39Z"/>
        <d v="1899-12-30T13:31:50Z"/>
        <d v="1899-12-30T09:52:50Z"/>
        <d v="1899-12-30T00:50:14Z"/>
        <d v="1899-12-30T06:50:02Z"/>
        <d v="1899-12-30T07:23:51Z"/>
        <d v="1899-12-30T06:49:27Z"/>
        <d v="1899-12-30T18:16:01Z"/>
        <d v="1899-12-30T00:01:19Z"/>
        <d v="1899-12-30T09:54:54Z"/>
        <d v="1899-12-30T16:53:23Z"/>
        <d v="1899-12-30T11:01:37Z"/>
        <d v="1899-12-30T11:40:14Z"/>
        <d v="1899-12-30T08:53:50Z"/>
        <d v="1899-12-30T17:43:01Z"/>
        <d v="1899-12-30T08:39:34Z"/>
        <d v="1899-12-30T19:38:29Z"/>
        <d v="1899-12-30T12:25:47Z"/>
        <d v="1899-12-30T10:26:57Z"/>
        <d v="1899-12-30T20:49:15Z"/>
        <d v="1899-12-30T06:16:18Z"/>
        <d v="1899-12-30T04:19:18Z"/>
        <d v="1899-12-30T21:33:58Z"/>
        <d v="1899-12-30T14:56:00Z"/>
        <d v="1899-12-30T12:56:52Z"/>
        <d v="1899-12-30T12:39:13Z"/>
        <d v="1899-12-30T17:17:01Z"/>
        <d v="1899-12-30T14:19:02Z"/>
        <d v="1899-12-30T14:33:11Z"/>
        <d v="1899-12-30T11:48:53Z"/>
        <d v="1899-12-30T16:09:37Z"/>
        <d v="1899-12-30T00:44:02Z"/>
        <d v="1899-12-30T23:17:53Z"/>
        <d v="1899-12-30T12:58:28Z"/>
        <d v="1899-12-30T07:59:16Z"/>
        <d v="1899-12-30T09:03:40Z"/>
        <d v="1899-12-30T22:19:57Z"/>
        <d v="1899-12-30T17:28:03Z"/>
        <d v="1899-12-30T20:24:24Z"/>
        <d v="1899-12-30T02:48:33Z"/>
        <d v="1899-12-30T07:40:11Z"/>
        <d v="1899-12-30T22:38:38Z"/>
        <d v="1899-12-30T16:25:27Z"/>
        <d v="1899-12-30T20:49:04Z"/>
        <d v="1899-12-30T00:31:34Z"/>
        <d v="1899-12-30T18:06:16Z"/>
        <d v="1899-12-30T18:50:02Z"/>
        <d v="1899-12-30T21:35:07Z"/>
        <d v="1899-12-30T20:14:46Z"/>
        <d v="1899-12-30T19:57:25Z"/>
        <d v="1899-12-30T04:24:10Z"/>
        <d v="1899-12-30T21:56:19Z"/>
        <d v="1899-12-30T16:37:28Z"/>
        <d v="1899-12-30T03:52:07Z"/>
        <d v="1899-12-30T04:36:48Z"/>
        <d v="1899-12-30T13:13:14Z"/>
        <d v="1899-12-30T14:21:41Z"/>
        <d v="1899-12-30T20:01:12Z"/>
        <d v="1899-12-30T03:54:26Z"/>
        <d v="1899-12-30T20:15:28Z"/>
        <d v="1899-12-30T08:37:22Z"/>
        <d v="1899-12-30T07:39:03Z"/>
        <d v="1899-12-30T17:43:36Z"/>
        <d v="1899-12-30T12:39:08Z"/>
        <d v="1899-12-30T14:37:08Z"/>
        <d v="1899-12-30T12:15:12Z"/>
        <d v="1899-12-30T12:29:03Z"/>
        <d v="1899-12-30T17:00:47Z"/>
        <d v="1899-12-30T17:01:48Z"/>
        <d v="1899-12-30T05:23:30Z"/>
        <d v="1899-12-30T13:22:51Z"/>
        <d v="1899-12-30T11:54:00Z"/>
        <d v="1899-12-30T22:56:39Z"/>
        <d v="1899-12-30T11:33:07Z"/>
        <d v="1899-12-30T16:16:39Z"/>
        <d v="1899-12-30T21:25:17Z"/>
        <d v="1899-12-30T14:21:14Z"/>
        <d v="1899-12-30T22:24:38Z"/>
        <d v="1899-12-30T01:07:32Z"/>
        <d v="1899-12-30T21:34:03Z"/>
        <d v="1899-12-30T03:49:07Z"/>
        <d v="1899-12-30T07:49:48Z"/>
        <d v="1899-12-30T14:04:09Z"/>
        <d v="1899-12-30T16:15:18Z"/>
        <d v="1899-12-30T12:59:34Z"/>
        <d v="1899-12-30T17:32:01Z"/>
        <d v="1899-12-30T22:39:20Z"/>
        <d v="1899-12-30T06:01:56Z"/>
        <d v="1899-12-30T20:32:35Z"/>
        <d v="1899-12-30T19:46:15Z"/>
        <d v="1899-12-30T16:58:12Z"/>
        <d v="1899-12-30T23:39:40Z"/>
        <d v="1899-12-30T01:25:23Z"/>
        <d v="1899-12-30T21:09:14Z"/>
        <d v="1899-12-30T18:15:20Z"/>
        <d v="1899-12-30T09:44:42Z"/>
        <d v="1899-12-30T05:46:29Z"/>
        <d v="1899-12-30T15:49:32Z"/>
        <d v="1899-12-30T20:28:34Z"/>
        <d v="1899-12-30T11:12:48Z"/>
        <d v="1899-12-30T22:26:28Z"/>
        <d v="1899-12-30T19:49:55Z"/>
        <d v="1899-12-30T04:01:46Z"/>
        <d v="1899-12-30T15:07:41Z"/>
        <d v="1899-12-30T02:44:05Z"/>
        <d v="1899-12-30T09:37:43Z"/>
        <d v="1899-12-30T22:37:52Z"/>
        <d v="1899-12-30T01:44:15Z"/>
        <d v="1899-12-30T21:30:20Z"/>
        <d v="1899-12-30T12:51:39Z"/>
        <d v="1899-12-30T22:15:25Z"/>
        <d v="1899-12-30T16:52:40Z"/>
        <d v="1899-12-30T20:18:26Z"/>
        <d v="1899-12-30T03:59:20Z"/>
        <d v="1899-12-30T03:05:58Z"/>
        <d v="1899-12-30T14:40:50Z"/>
        <d v="1899-12-30T08:06:56Z"/>
        <d v="1899-12-30T12:00:15Z"/>
        <d v="1899-12-30T18:25:17Z"/>
        <d v="1899-12-30T15:45:36Z"/>
        <d v="1899-12-30T20:56:30Z"/>
        <d v="1899-12-30T06:12:33Z"/>
        <d v="1899-12-30T17:17:45Z"/>
        <d v="1899-12-30T19:41:59Z"/>
        <d v="1899-12-30T02:10:28Z"/>
        <d v="1899-12-30T19:38:30Z"/>
        <d v="1899-12-30T08:33:55Z"/>
        <d v="1899-12-30T22:40:40Z"/>
        <d v="1899-12-30T13:19:39Z"/>
        <d v="1899-12-30T18:44:25Z"/>
        <d v="1899-12-30T16:36:27Z"/>
        <d v="1899-12-30T02:51:17Z"/>
        <d v="1899-12-30T19:51:40Z"/>
        <d v="1899-12-30T09:47:08Z"/>
        <d v="1899-12-30T14:41:15Z"/>
        <d v="1899-12-30T16:05:10Z"/>
        <d v="1899-12-30T19:07:25Z"/>
        <d v="1899-12-30T03:49:29Z"/>
        <d v="1899-12-30T13:51:55Z"/>
        <d v="1899-12-30T22:32:08Z"/>
        <d v="1899-12-30T07:55:43Z"/>
        <d v="1899-12-30T15:12:45Z"/>
        <d v="1899-12-30T13:08:18Z"/>
        <d v="1899-12-30T19:03:31Z"/>
        <d v="1899-12-30T08:34:31Z"/>
        <d v="1899-12-30T14:26:43Z"/>
        <d v="1899-12-30T18:13:57Z"/>
        <d v="1899-12-30T16:07:04Z"/>
        <d v="1899-12-30T11:44:33Z"/>
        <d v="1899-12-30T22:35:23Z"/>
        <d v="1899-12-30T19:30:10Z"/>
        <d v="1899-12-30T12:11:23Z"/>
        <d v="1899-12-30T20:22:50Z"/>
        <d v="1899-12-30T06:18:20Z"/>
        <d v="1899-12-30T23:32:10Z"/>
        <d v="1899-12-30T18:21:20Z"/>
        <d v="1899-12-30T21:35:38Z"/>
        <d v="1899-12-30T23:02:39Z"/>
        <d v="1899-12-30T08:49:15Z"/>
        <d v="1899-12-30T21:49:40Z"/>
        <d v="1899-12-30T18:57:47Z"/>
        <d v="1899-12-30T05:33:46Z"/>
        <d v="1899-12-30T09:55:25Z"/>
        <d v="1899-12-30T19:08:55Z"/>
        <d v="1899-12-30T17:49:00Z"/>
        <d v="1899-12-30T23:59:48Z"/>
        <d v="1899-12-30T07:28:24Z"/>
        <d v="1899-12-30T07:38:23Z"/>
        <d v="1899-12-30T15:04:15Z"/>
        <d v="1899-12-30T20:04:20Z"/>
        <d v="1899-12-30T15:23:47Z"/>
        <d v="1899-12-30T19:06:07Z"/>
        <d v="1899-12-30T04:06:39Z"/>
        <d v="1899-12-30T07:06:06Z"/>
        <d v="1899-12-30T17:37:20Z"/>
        <d v="1899-12-30T14:43:21Z"/>
        <d v="1899-12-30T18:49:37Z"/>
        <d v="1899-12-30T08:41:38Z"/>
        <d v="1899-12-30T09:10:06Z"/>
        <d v="1899-12-30T23:02:45Z"/>
        <d v="1899-12-30T01:05:42Z"/>
        <d v="1899-12-30T00:10:06Z"/>
        <d v="1899-12-30T22:39:02Z"/>
        <d v="1899-12-30T22:50:20Z"/>
        <d v="1899-12-30T16:10:32Z"/>
        <d v="1899-12-30T19:28:41Z"/>
        <d v="1899-12-30T01:37:46Z"/>
        <d v="1899-12-30T17:43:55Z"/>
        <d v="1899-12-30T17:48:59Z"/>
        <d v="1899-12-30T06:10:04Z"/>
        <d v="1899-12-30T16:58:38Z"/>
        <d v="1899-12-30T05:24:31Z"/>
        <d v="1899-12-30T04:55:16Z"/>
        <d v="1899-12-30T14:39:01Z"/>
        <d v="1899-12-30T19:15:31Z"/>
        <d v="1899-12-30T07:51:08Z"/>
        <d v="1899-12-30T13:36:26Z"/>
        <d v="1899-12-30T08:43:57Z"/>
        <d v="1899-12-30T10:19:45Z"/>
        <d v="1899-12-30T23:39:26Z"/>
        <d v="1899-12-30T14:08:10Z"/>
        <d v="1899-12-30T06:57:27Z"/>
        <d v="1899-12-30T07:56:46Z"/>
        <d v="1899-12-30T04:07:36Z"/>
        <d v="1899-12-30T14:27:00Z"/>
        <d v="1899-12-30T16:47:12Z"/>
        <d v="1899-12-30T04:44:09Z"/>
        <d v="1899-12-30T16:37:39Z"/>
        <d v="1899-12-30T15:20:18Z"/>
        <d v="1899-12-30T22:38:32Z"/>
        <d v="1899-12-30T10:00:06Z"/>
        <d v="1899-12-30T11:10:16Z"/>
        <d v="1899-12-30T05:04:51Z"/>
        <d v="1899-12-30T05:51:12Z"/>
        <d v="1899-12-30T14:26:21Z"/>
        <d v="1899-12-30T01:02:42Z"/>
        <d v="1899-12-30T00:14:52Z"/>
        <d v="1899-12-30T07:24:48Z"/>
        <d v="1899-12-30T03:09:25Z"/>
        <d v="1899-12-30T16:59:42Z"/>
        <d v="1899-12-30T19:34:38Z"/>
        <d v="1899-12-30T07:58:54Z"/>
        <d v="1899-12-30T14:33:33Z"/>
        <d v="1899-12-30T23:47:21Z"/>
        <d v="1899-12-30T15:40:46Z"/>
        <d v="1899-12-30T15:56:25Z"/>
        <d v="1899-12-30T09:21:31Z"/>
        <d v="1899-12-30T05:05:24Z"/>
        <d v="1899-12-30T15:07:24Z"/>
        <d v="1899-12-30T23:18:28Z"/>
        <d v="1899-12-30T16:02:26Z"/>
        <d v="1899-12-30T13:06:28Z"/>
        <d v="1899-12-30T14:31:08Z"/>
        <d v="1899-12-30T13:57:19Z"/>
        <d v="1899-12-30T19:25:38Z"/>
        <d v="1899-12-30T15:37:57Z"/>
        <d v="1899-12-30T21:21:31Z"/>
        <d v="1899-12-30T19:39:57Z"/>
        <d v="1899-12-30T09:09:44Z"/>
        <d v="1899-12-30T10:00:05Z"/>
        <d v="1899-12-30T16:33:25Z"/>
        <d v="1899-12-30T07:55:31Z"/>
        <d v="1899-12-30T15:04:53Z"/>
        <d v="1899-12-30T03:30:36Z"/>
        <d v="1899-12-30T06:58:48Z"/>
        <d v="1899-12-30T16:21:15Z"/>
        <d v="1899-12-30T11:45:21Z"/>
        <d v="1899-12-30T15:24:30Z"/>
        <d v="1899-12-30T09:54:57Z"/>
        <d v="1899-12-30T13:24:56Z"/>
        <d v="1899-12-30T02:06:28Z"/>
        <d v="1899-12-30T15:25:52Z"/>
        <d v="1899-12-30T22:11:24Z"/>
        <d v="1899-12-30T15:20:02Z"/>
        <d v="1899-12-30T21:25:02Z"/>
        <d v="1899-12-30T20:56:35Z"/>
        <d v="1899-12-30T11:31:24Z"/>
        <d v="1899-12-30T17:36:32Z"/>
        <d v="1899-12-30T17:20:26Z"/>
        <d v="1899-12-30T21:45:38Z"/>
        <d v="1899-12-30T00:29:56Z"/>
        <d v="1899-12-30T20:01:24Z"/>
        <d v="1899-12-30T17:27:35Z"/>
        <d v="1899-12-30T19:48:55Z"/>
        <d v="1899-12-30T22:05:06Z"/>
        <d v="1899-12-30T05:07:52Z"/>
        <d v="1899-12-30T19:12:05Z"/>
        <d v="1899-12-30T02:07:15Z"/>
        <d v="1899-12-30T20:07:22Z"/>
        <d v="1899-12-30T15:57:47Z"/>
        <d v="1899-12-30T02:21:06Z"/>
        <d v="1899-12-30T00:45:57Z"/>
        <d v="1899-12-30T07:44:14Z"/>
        <d v="1899-12-30T08:08:44Z"/>
        <d v="1899-12-30T22:29:12Z"/>
        <d v="1899-12-30T15:45:38Z"/>
        <d v="1899-12-30T20:49:31Z"/>
        <d v="1899-12-30T12:53:43Z"/>
        <d v="1899-12-30T11:53:17Z"/>
        <d v="1899-12-30T21:19:18Z"/>
        <d v="1899-12-30T06:35:24Z"/>
        <d v="1899-12-30T06:37:33Z"/>
        <d v="1899-12-30T18:29:14Z"/>
        <d v="1899-12-30T05:42:40Z"/>
        <d v="1899-12-30T03:02:16Z"/>
        <d v="1899-12-30T03:46:38Z"/>
        <d v="1899-12-30T16:51:23Z"/>
        <d v="1899-12-30T14:06:25Z"/>
        <d v="1899-12-30T05:04:38Z"/>
        <d v="1899-12-30T00:31:41Z"/>
        <d v="1899-12-30T07:00:10Z"/>
        <d v="1899-12-30T13:29:15Z"/>
        <d v="1899-12-30T15:44:26Z"/>
        <d v="1899-12-30T16:44:12Z"/>
        <d v="1899-12-30T11:08:03Z"/>
        <d v="1899-12-30T04:34:19Z"/>
        <d v="1899-12-30T13:46:06Z"/>
        <d v="1899-12-30T12:36:31Z"/>
        <d v="1899-12-30T20:54:54Z"/>
        <d v="1899-12-30T23:03:23Z"/>
        <d v="1899-12-30T15:30:39Z"/>
        <d v="1899-12-30T23:02:13Z"/>
        <d v="1899-12-30T03:49:25Z"/>
        <d v="1899-12-30T17:53:45Z"/>
        <d v="1899-12-30T03:36:35Z"/>
        <d v="1899-12-30T05:35:33Z"/>
        <d v="1899-12-30T03:00:55Z"/>
        <d v="1899-12-30T15:55:23Z"/>
        <d v="1899-12-30T07:00:24Z"/>
        <d v="1899-12-30T02:05:17Z"/>
        <d v="1899-12-30T03:27:54Z"/>
        <d v="1899-12-30T21:21:23Z"/>
        <d v="1899-12-30T03:21:42Z"/>
        <d v="1899-12-30T18:49:51Z"/>
        <d v="1899-12-30T02:51:24Z"/>
        <d v="1899-12-30T12:39:02Z"/>
        <d v="1899-12-30T06:28:56Z"/>
        <d v="1899-12-30T21:03:43Z"/>
        <d v="1899-12-30T22:09:56Z"/>
        <d v="1899-12-30T19:28:35Z"/>
        <d v="1899-12-30T22:19:51Z"/>
        <d v="1899-12-30T16:00:38Z"/>
        <d v="1899-12-30T04:15:18Z"/>
        <d v="1899-12-30T07:07:43Z"/>
        <d v="1899-12-30T14:31:51Z"/>
        <d v="1899-12-30T13:31:23Z"/>
        <d v="1899-12-30T21:17:50Z"/>
        <d v="1899-12-30T20:27:33Z"/>
        <d v="1899-12-30T22:34:48Z"/>
        <d v="1899-12-30T05:43:35Z"/>
        <d v="1899-12-30T13:32:48Z"/>
        <d v="1899-12-30T05:57:33Z"/>
        <d v="1899-12-30T00:23:00Z"/>
        <d v="1899-12-30T03:36:58Z"/>
        <d v="1899-12-30T10:25:31Z"/>
        <d v="1899-12-30T07:40:43Z"/>
        <d v="1899-12-30T08:33:48Z"/>
        <d v="1899-12-30T19:24:43Z"/>
        <d v="1899-12-30T16:38:06Z"/>
        <d v="1899-12-30T03:54:59Z"/>
        <d v="1899-12-30T17:25:08Z"/>
        <d v="1899-12-30T00:20:12Z"/>
        <d v="1899-12-30T06:12:28Z"/>
        <d v="1899-12-30T16:23:07Z"/>
        <d v="1899-12-30T23:48:53Z"/>
        <d v="1899-12-30T12:16:50Z"/>
        <d v="1899-12-30T11:17:38Z"/>
        <d v="1899-12-30T12:45:16Z"/>
        <d v="1899-12-30T16:26:12Z"/>
        <d v="1899-12-30T06:59:32Z"/>
        <d v="1899-12-30T10:32:07Z"/>
        <d v="1899-12-30T10:04:21Z"/>
        <d v="1899-12-30T06:18:47Z"/>
        <d v="1899-12-30T23:30:18Z"/>
        <d v="1899-12-30T23:29:41Z"/>
        <d v="1899-12-30T19:57:28Z"/>
        <d v="1899-12-30T19:32:06Z"/>
        <d v="1899-12-30T00:49:06Z"/>
        <d v="1899-12-30T12:26:34Z"/>
        <d v="1899-12-30T18:53:25Z"/>
        <d v="1899-12-30T19:37:46Z"/>
        <d v="1899-12-30T01:49:11Z"/>
        <d v="1899-12-30T03:12:48Z"/>
        <d v="1899-12-30T04:40:55Z"/>
        <d v="1899-12-30T11:29:03Z"/>
        <d v="1899-12-30T05:20:21Z"/>
        <d v="1899-12-30T11:08:12Z"/>
        <d v="1899-12-30T08:38:00Z"/>
        <d v="1899-12-30T06:59:08Z"/>
        <d v="1899-12-30T21:13:40Z"/>
        <d v="1899-12-30T06:50:27Z"/>
        <d v="1899-12-30T11:06:45Z"/>
        <d v="1899-12-30T09:02:40Z"/>
        <d v="1899-12-30T20:47:01Z"/>
        <d v="1899-12-30T20:04:24Z"/>
        <d v="1899-12-30T10:42:31Z"/>
        <d v="1899-12-30T09:13:47Z"/>
        <d v="1899-12-30T16:45:02Z"/>
        <d v="1899-12-30T22:32:45Z"/>
        <d v="1899-12-30T12:00:26Z"/>
        <d v="1899-12-30T08:54:24Z"/>
        <d v="1899-12-30T13:16:23Z"/>
        <d v="1899-12-30T18:33:01Z"/>
        <d v="1899-12-30T07:57:17Z"/>
        <d v="1899-12-30T11:24:00Z"/>
        <d v="1899-12-30T14:27:57Z"/>
        <d v="1899-12-30T19:44:51Z"/>
        <d v="1899-12-30T15:41:35Z"/>
        <d v="1899-12-30T07:08:19Z"/>
        <d v="1899-12-30T12:51:09Z"/>
        <d v="1899-12-30T08:45:18Z"/>
        <d v="1899-12-30T14:39:15Z"/>
        <d v="1899-12-30T02:40:53Z"/>
        <d v="1899-12-30T19:16:41Z"/>
        <d v="1899-12-30T05:24:35Z"/>
        <d v="1899-12-30T20:21:32Z"/>
        <d v="1899-12-30T14:14:11Z"/>
        <d v="1899-12-30T15:32:30Z"/>
        <d v="1899-12-30T09:51:12Z"/>
        <d v="1899-12-30T19:35:26Z"/>
        <d v="1899-12-30T23:44:50Z"/>
        <d v="1899-12-30T23:14:02Z"/>
        <d v="1899-12-30T07:15:56Z"/>
        <d v="1899-12-30T15:07:47Z"/>
      </sharedItems>
    </cacheField>
    <cacheField name="Idade (Anos)" numFmtId="0">
      <sharedItems containsSemiMixedTypes="0" containsString="0" containsNumber="1" containsInteger="1">
        <n v="7.0"/>
        <n v="3.0"/>
        <n v="8.0"/>
        <n v="6.0"/>
        <n v="5.0"/>
        <n v="9.0"/>
        <n v="4.0"/>
        <n v="11.0"/>
        <n v="13.0"/>
        <n v="10.0"/>
        <n v="2.0"/>
        <n v="12.0"/>
        <n v="1.0"/>
        <n v="14.0"/>
        <n v="0.0"/>
      </sharedItems>
    </cacheField>
    <cacheField name="Data do Ultimo Update" numFmtId="164">
      <sharedItems containsSemiMixedTypes="0" containsDate="1" containsString="0">
        <d v="2022-08-25T00:00:00Z"/>
        <d v="2022-08-24T00:00:00Z"/>
        <d v="2022-08-22T00:00:00Z"/>
        <d v="2022-08-23T00:00:00Z"/>
      </sharedItems>
    </cacheField>
    <cacheField name="Hora do Ultimo Update" numFmtId="165">
      <sharedItems containsSemiMixedTypes="0" containsDate="1" containsString="0">
        <d v="1899-12-30T14:06:59Z"/>
        <d v="1899-12-30T12:57:50Z"/>
        <d v="1899-12-30T14:37:02Z"/>
        <d v="1899-12-30T14:34:31Z"/>
        <d v="1899-12-30T14:36:56Z"/>
        <d v="1899-12-30T14:36:40Z"/>
        <d v="1899-12-30T14:27:04Z"/>
        <d v="1899-12-30T14:28:57Z"/>
        <d v="1899-12-30T14:21:56Z"/>
        <d v="1899-12-30T14:33:00Z"/>
        <d v="1899-12-30T14:07:17Z"/>
        <d v="1899-12-30T14:25:00Z"/>
        <d v="1899-12-30T14:15:26Z"/>
        <d v="1899-12-30T14:11:29Z"/>
        <d v="1899-12-30T14:00:38Z"/>
        <d v="1899-12-30T14:36:13Z"/>
        <d v="1899-12-30T14:33:59Z"/>
        <d v="1899-12-30T13:09:50Z"/>
        <d v="1899-12-30T14:00:45Z"/>
        <d v="1899-12-30T14:37:31Z"/>
        <d v="1899-12-30T14:09:10Z"/>
        <d v="1899-12-30T14:11:30Z"/>
        <d v="1899-12-30T14:25:05Z"/>
        <d v="1899-12-30T12:49:06Z"/>
        <d v="1899-12-30T14:16:32Z"/>
        <d v="1899-12-30T14:24:38Z"/>
        <d v="1899-12-30T14:29:39Z"/>
        <d v="1899-12-30T14:21:20Z"/>
        <d v="1899-12-30T13:20:04Z"/>
        <d v="1899-12-30T14:22:05Z"/>
        <d v="1899-12-30T14:37:17Z"/>
        <d v="1899-12-30T14:05:17Z"/>
        <d v="1899-12-30T14:29:23Z"/>
        <d v="1899-12-30T14:33:51Z"/>
        <d v="1899-12-30T14:14:45Z"/>
        <d v="1899-12-30T14:34:24Z"/>
        <d v="1899-12-30T14:07:03Z"/>
        <d v="1899-12-30T14:03:27Z"/>
        <d v="1899-12-30T13:51:18Z"/>
        <d v="1899-12-30T14:30:12Z"/>
        <d v="1899-12-30T13:58:45Z"/>
        <d v="1899-12-30T14:27:35Z"/>
        <d v="1899-12-30T14:34:27Z"/>
        <d v="1899-12-30T14:07:14Z"/>
        <d v="1899-12-30T14:30:49Z"/>
        <d v="1899-12-30T14:16:19Z"/>
        <d v="1899-12-30T14:16:10Z"/>
        <d v="1899-12-30T12:56:59Z"/>
        <d v="1899-12-30T13:53:50Z"/>
        <d v="1899-12-30T14:27:11Z"/>
        <d v="1899-12-30T14:34:21Z"/>
        <d v="1899-12-30T14:34:01Z"/>
        <d v="1899-12-30T14:36:25Z"/>
        <d v="1899-12-30T14:20:51Z"/>
        <d v="1899-12-30T14:27:26Z"/>
        <d v="1899-12-30T13:15:01Z"/>
        <d v="1899-12-30T14:24:19Z"/>
        <d v="1899-12-30T14:29:51Z"/>
        <d v="1899-12-30T13:12:53Z"/>
        <d v="1899-12-30T13:51:07Z"/>
        <d v="1899-12-30T14:25:30Z"/>
        <d v="1899-12-30T13:49:30Z"/>
        <d v="1899-12-30T14:27:36Z"/>
        <d v="1899-12-30T13:20:08Z"/>
        <d v="1899-12-30T14:33:42Z"/>
        <d v="1899-12-30T14:03:21Z"/>
        <d v="1899-12-30T14:14:35Z"/>
        <d v="1899-12-30T12:35:40Z"/>
        <d v="1899-12-30T14:15:58Z"/>
        <d v="1899-12-30T14:35:57Z"/>
        <d v="1899-12-30T12:45:04Z"/>
        <d v="1899-12-30T14:02:55Z"/>
        <d v="1899-12-30T14:20:18Z"/>
        <d v="1899-12-30T14:36:57Z"/>
        <d v="1899-12-30T14:26:26Z"/>
        <d v="1899-12-30T10:40:32Z"/>
        <d v="1899-12-30T14:11:05Z"/>
        <d v="1899-12-30T14:10:59Z"/>
        <d v="1899-12-30T14:12:13Z"/>
        <d v="1899-12-30T14:30:25Z"/>
        <d v="1899-12-30T14:22:39Z"/>
        <d v="1899-12-30T14:26:53Z"/>
        <d v="1899-12-30T09:49:03Z"/>
        <d v="1899-12-30T08:35:54Z"/>
        <d v="1899-12-30T13:30:51Z"/>
        <d v="1899-12-30T14:14:47Z"/>
        <d v="1899-12-30T14:27:58Z"/>
        <d v="1899-12-30T13:28:37Z"/>
        <d v="1899-12-30T14:30:51Z"/>
        <d v="1899-12-30T14:28:05Z"/>
        <d v="1899-12-30T14:21:46Z"/>
        <d v="1899-12-30T12:36:02Z"/>
        <d v="1899-12-30T13:04:34Z"/>
        <d v="1899-12-30T14:36:55Z"/>
        <d v="1899-12-30T13:31:59Z"/>
        <d v="1899-12-30T14:24:33Z"/>
        <d v="1899-12-30T11:41:33Z"/>
        <d v="1899-12-30T13:53:47Z"/>
        <d v="1899-12-30T13:46:00Z"/>
        <d v="1899-12-30T14:23:35Z"/>
        <d v="1899-12-30T14:13:20Z"/>
        <d v="1899-12-30T14:20:32Z"/>
        <d v="1899-12-30T11:55:19Z"/>
        <d v="1899-12-30T10:13:42Z"/>
        <d v="1899-12-30T14:02:43Z"/>
        <d v="1899-12-30T14:35:29Z"/>
        <d v="1899-12-30T14:35:02Z"/>
        <d v="1899-12-30T12:50:28Z"/>
        <d v="1899-12-30T10:27:53Z"/>
        <d v="1899-12-30T14:37:45Z"/>
        <d v="1899-12-30T14:30:20Z"/>
        <d v="1899-12-30T13:16:25Z"/>
        <d v="1899-12-30T14:16:00Z"/>
        <d v="1899-12-30T14:18:06Z"/>
        <d v="1899-12-30T14:20:29Z"/>
        <d v="1899-12-30T12:40:40Z"/>
        <d v="1899-12-30T13:43:04Z"/>
        <d v="1899-12-30T14:13:14Z"/>
        <d v="1899-12-30T13:07:36Z"/>
        <d v="1899-12-30T14:22:24Z"/>
        <d v="1899-12-30T13:43:54Z"/>
        <d v="1899-12-30T14:21:17Z"/>
        <d v="1899-12-30T14:37:38Z"/>
        <d v="1899-12-30T12:33:12Z"/>
        <d v="1899-12-30T14:24:42Z"/>
        <d v="1899-12-30T14:05:16Z"/>
        <d v="1899-12-30T14:00:02Z"/>
        <d v="1899-12-30T13:26:18Z"/>
        <d v="1899-12-30T13:54:07Z"/>
        <d v="1899-12-30T14:12:12Z"/>
        <d v="1899-12-30T14:06:15Z"/>
        <d v="1899-12-30T13:09:51Z"/>
        <d v="1899-12-30T13:30:52Z"/>
        <d v="1899-12-30T14:23:52Z"/>
        <d v="1899-12-30T14:36:17Z"/>
        <d v="1899-12-30T13:17:32Z"/>
        <d v="1899-12-30T12:52:53Z"/>
        <d v="1899-12-30T14:11:17Z"/>
        <d v="1899-12-30T14:37:50Z"/>
        <d v="1899-12-30T14:27:03Z"/>
        <d v="1899-12-30T13:16:21Z"/>
        <d v="1899-12-30T14:20:47Z"/>
        <d v="1899-12-30T14:23:11Z"/>
        <d v="1899-12-30T14:28:46Z"/>
        <d v="1899-12-30T14:30:50Z"/>
        <d v="1899-12-30T14:27:54Z"/>
        <d v="1899-12-30T12:38:27Z"/>
        <d v="1899-12-30T14:17:44Z"/>
        <d v="1899-12-30T14:28:04Z"/>
        <d v="1899-12-30T14:19:16Z"/>
        <d v="1899-12-30T13:48:49Z"/>
        <d v="1899-12-30T13:10:18Z"/>
        <d v="1899-12-30T14:30:26Z"/>
        <d v="1899-12-30T14:29:53Z"/>
        <d v="1899-12-30T13:56:34Z"/>
        <d v="1899-12-30T13:23:40Z"/>
        <d v="1899-12-30T14:32:31Z"/>
        <d v="1899-12-30T14:03:32Z"/>
        <d v="1899-12-30T14:14:25Z"/>
        <d v="1899-12-30T11:30:59Z"/>
        <d v="1899-12-30T12:33:17Z"/>
        <d v="1899-12-30T09:58:20Z"/>
        <d v="1899-12-30T10:03:51Z"/>
        <d v="1899-12-30T12:51:11Z"/>
        <d v="1899-12-30T14:18:17Z"/>
        <d v="1899-12-30T11:46:48Z"/>
        <d v="1899-12-30T12:07:55Z"/>
        <d v="1899-12-30T12:05:18Z"/>
        <d v="1899-12-30T14:33:16Z"/>
        <d v="1899-12-30T12:40:59Z"/>
        <d v="1899-12-30T14:24:23Z"/>
        <d v="1899-12-30T11:16:24Z"/>
        <d v="1899-12-30T10:55:44Z"/>
        <d v="1899-12-30T12:36:32Z"/>
        <d v="1899-12-30T12:45:17Z"/>
        <d v="1899-12-30T14:34:39Z"/>
        <d v="1899-12-30T12:28:08Z"/>
        <d v="1899-12-30T14:05:19Z"/>
        <d v="1899-12-30T14:05:28Z"/>
        <d v="1899-12-30T13:56:21Z"/>
        <d v="1899-12-30T12:38:05Z"/>
        <d v="1899-12-30T13:20:00Z"/>
        <d v="1899-12-30T07:41:23Z"/>
        <d v="1899-12-30T09:49:12Z"/>
        <d v="1899-12-30T14:38:12Z"/>
        <d v="1899-12-30T14:20:11Z"/>
        <d v="1899-12-30T13:03:08Z"/>
        <d v="1899-12-30T13:55:36Z"/>
        <d v="1899-12-30T14:26:58Z"/>
        <d v="1899-12-30T05:24:46Z"/>
        <d v="1899-12-30T14:38:06Z"/>
        <d v="1899-12-30T14:25:14Z"/>
        <d v="1899-12-30T13:27:36Z"/>
        <d v="1899-12-30T14:04:07Z"/>
        <d v="1899-12-30T14:33:30Z"/>
        <d v="1899-12-30T14:37:23Z"/>
        <d v="1899-12-30T13:52:35Z"/>
        <d v="1899-12-30T12:21:37Z"/>
        <d v="1899-12-30T13:14:01Z"/>
        <d v="1899-12-30T12:56:41Z"/>
        <d v="1899-12-30T10:36:00Z"/>
        <d v="1899-12-30T14:22:26Z"/>
        <d v="1899-12-30T14:03:13Z"/>
        <d v="1899-12-30T14:14:50Z"/>
        <d v="1899-12-30T13:59:23Z"/>
        <d v="1899-12-30T13:58:23Z"/>
        <d v="1899-12-30T14:24:21Z"/>
        <d v="1899-12-30T09:50:25Z"/>
        <d v="1899-12-30T14:30:06Z"/>
        <d v="1899-12-30T11:05:58Z"/>
        <d v="1899-12-30T14:26:12Z"/>
        <d v="1899-12-30T14:19:01Z"/>
        <d v="1899-12-30T14:11:24Z"/>
        <d v="1899-12-30T14:11:25Z"/>
        <d v="1899-12-30T14:04:08Z"/>
        <d v="1899-12-30T14:29:58Z"/>
        <d v="1899-12-30T14:07:54Z"/>
        <d v="1899-12-30T13:50:15Z"/>
        <d v="1899-12-30T13:15:58Z"/>
        <d v="1899-12-30T14:31:39Z"/>
        <d v="1899-12-30T14:22:31Z"/>
        <d v="1899-12-30T12:22:22Z"/>
        <d v="1899-12-30T13:15:50Z"/>
        <d v="1899-12-30T09:36:56Z"/>
        <d v="1899-12-30T12:24:28Z"/>
        <d v="1899-12-30T14:25:34Z"/>
        <d v="1899-12-30T03:43:06Z"/>
        <d v="1899-12-30T09:24:04Z"/>
        <d v="1899-12-30T13:28:38Z"/>
        <d v="1899-12-30T13:23:45Z"/>
        <d v="1899-12-30T12:28:00Z"/>
        <d v="1899-12-30T12:50:07Z"/>
        <d v="1899-12-30T14:37:15Z"/>
        <d v="1899-12-30T11:47:25Z"/>
        <d v="1899-12-30T14:01:22Z"/>
        <d v="1899-12-30T14:26:40Z"/>
        <d v="1899-12-30T13:58:38Z"/>
        <d v="1899-12-30T13:59:18Z"/>
        <d v="1899-12-30T14:14:18Z"/>
        <d v="1899-12-30T14:37:04Z"/>
        <d v="1899-12-30T13:57:50Z"/>
        <d v="1899-12-30T14:14:04Z"/>
        <d v="1899-12-30T13:36:01Z"/>
        <d v="1899-12-30T14:34:46Z"/>
        <d v="1899-12-30T12:02:29Z"/>
        <d v="1899-12-30T20:37:45Z"/>
        <d v="1899-12-30T14:35:04Z"/>
        <d v="1899-12-30T14:28:56Z"/>
        <d v="1899-12-30T09:37:14Z"/>
        <d v="1899-12-30T14:06:05Z"/>
        <d v="1899-12-30T14:01:05Z"/>
        <d v="1899-12-30T14:17:31Z"/>
        <d v="1899-12-30T07:01:46Z"/>
        <d v="1899-12-30T14:24:09Z"/>
        <d v="1899-12-30T14:32:57Z"/>
        <d v="1899-12-30T12:55:35Z"/>
        <d v="1899-12-30T07:09:00Z"/>
        <d v="1899-12-30T14:07:36Z"/>
        <d v="1899-12-30T14:11:31Z"/>
        <d v="1899-12-30T14:24:45Z"/>
        <d v="1899-12-30T14:38:39Z"/>
        <d v="1899-12-30T13:35:00Z"/>
        <d v="1899-12-30T13:57:13Z"/>
        <d v="1899-12-30T10:58:45Z"/>
        <d v="1899-12-30T13:54:53Z"/>
        <d v="1899-12-30T14:16:49Z"/>
        <d v="1899-12-30T14:22:43Z"/>
        <d v="1899-12-30T10:42:10Z"/>
        <d v="1899-12-30T14:08:03Z"/>
        <d v="1899-12-30T14:22:38Z"/>
        <d v="1899-12-30T14:29:54Z"/>
        <d v="1899-12-30T10:17:00Z"/>
        <d v="1899-12-30T14:32:19Z"/>
        <d v="1899-12-30T13:07:06Z"/>
        <d v="1899-12-30T14:26:19Z"/>
        <d v="1899-12-30T14:36:29Z"/>
        <d v="1899-12-30T11:35:57Z"/>
        <d v="1899-12-30T14:23:37Z"/>
        <d v="1899-12-30T08:30:07Z"/>
        <d v="1899-12-30T13:31:05Z"/>
        <d v="1899-12-30T11:29:57Z"/>
        <d v="1899-12-30T14:08:28Z"/>
        <d v="1899-12-30T12:52:04Z"/>
        <d v="1899-12-30T14:26:45Z"/>
        <d v="1899-12-30T14:16:25Z"/>
        <d v="1899-12-30T12:06:28Z"/>
        <d v="1899-12-30T11:17:05Z"/>
        <d v="1899-12-30T14:02:37Z"/>
        <d v="1899-12-30T13:54:48Z"/>
        <d v="1899-12-30T12:58:02Z"/>
        <d v="1899-12-30T03:12:46Z"/>
        <d v="1899-12-30T13:39:12Z"/>
        <d v="1899-12-30T14:17:03Z"/>
        <d v="1899-12-30T11:53:27Z"/>
        <d v="1899-12-30T14:37:07Z"/>
        <d v="1899-12-30T12:57:19Z"/>
        <d v="1899-12-30T13:58:47Z"/>
        <d v="1899-12-30T09:19:26Z"/>
        <d v="1899-12-30T13:10:40Z"/>
        <d v="1899-12-30T14:11:51Z"/>
        <d v="1899-12-30T14:08:34Z"/>
        <d v="1899-12-30T14:19:06Z"/>
        <d v="1899-12-30T11:38:43Z"/>
        <d v="1899-12-30T08:35:41Z"/>
        <d v="1899-12-30T07:20:46Z"/>
        <d v="1899-12-30T09:54:17Z"/>
        <d v="1899-12-30T02:15:21Z"/>
        <d v="1899-12-30T09:31:51Z"/>
        <d v="1899-12-30T14:33:24Z"/>
        <d v="1899-12-30T14:35:01Z"/>
        <d v="1899-12-30T09:15:26Z"/>
        <d v="1899-12-30T13:22:11Z"/>
        <d v="1899-12-30T14:35:09Z"/>
        <d v="1899-12-30T12:29:14Z"/>
        <d v="1899-12-30T13:37:26Z"/>
        <d v="1899-12-30T14:39:02Z"/>
        <d v="1899-12-30T08:40:01Z"/>
        <d v="1899-12-30T13:46:22Z"/>
        <d v="1899-12-30T13:25:50Z"/>
        <d v="1899-12-30T12:16:44Z"/>
        <d v="1899-12-30T14:28:18Z"/>
        <d v="1899-12-30T09:27:43Z"/>
        <d v="1899-12-30T14:13:08Z"/>
        <d v="1899-12-30T12:37:17Z"/>
        <d v="1899-12-30T05:25:13Z"/>
        <d v="1899-12-30T14:00:58Z"/>
        <d v="1899-12-30T14:21:32Z"/>
        <d v="1899-12-30T14:32:05Z"/>
        <d v="1899-12-30T14:05:48Z"/>
        <d v="1899-12-30T14:18:42Z"/>
        <d v="1899-12-30T12:38:03Z"/>
        <d v="1899-12-30T13:37:43Z"/>
        <d v="1899-12-30T14:19:05Z"/>
        <d v="1899-12-30T13:10:06Z"/>
        <d v="1899-12-30T14:08:10Z"/>
        <d v="1899-12-30T12:47:21Z"/>
        <d v="1899-12-30T12:32:02Z"/>
        <d v="1899-12-30T13:36:31Z"/>
        <d v="1899-12-30T12:38:09Z"/>
        <d v="1899-12-30T14:26:17Z"/>
        <d v="1899-12-30T14:33:45Z"/>
        <d v="1899-12-30T14:32:45Z"/>
        <d v="1899-12-30T14:20:45Z"/>
        <d v="1899-12-30T13:31:21Z"/>
        <d v="1899-12-30T14:36:05Z"/>
        <d v="1899-12-30T14:37:36Z"/>
        <d v="1899-12-30T12:46:26Z"/>
        <d v="1899-12-30T13:13:13Z"/>
        <d v="1899-12-30T13:51:30Z"/>
        <d v="1899-12-30T06:54:02Z"/>
        <d v="1899-12-30T14:38:17Z"/>
        <d v="1899-12-30T14:22:11Z"/>
        <d v="1899-12-30T03:41:46Z"/>
        <d v="1899-12-30T14:13:22Z"/>
        <d v="1899-12-30T11:23:40Z"/>
        <d v="1899-12-30T14:37:39Z"/>
        <d v="1899-12-30T03:13:50Z"/>
        <d v="1899-12-30T14:08:19Z"/>
        <d v="1899-12-30T13:03:49Z"/>
        <d v="1899-12-30T13:10:22Z"/>
        <d v="1899-12-30T09:34:30Z"/>
        <d v="1899-12-30T13:04:40Z"/>
        <d v="1899-12-30T14:24:59Z"/>
        <d v="1899-12-30T11:21:09Z"/>
        <d v="1899-12-30T12:25:48Z"/>
        <d v="1899-12-30T08:29:46Z"/>
        <d v="1899-12-30T14:37:18Z"/>
        <d v="1899-12-30T14:26:21Z"/>
        <d v="1899-12-30T12:37:37Z"/>
        <d v="1899-12-30T14:30:07Z"/>
        <d v="1899-12-30T09:19:42Z"/>
        <d v="1899-12-30T14:28:41Z"/>
        <d v="1899-12-30T14:27:06Z"/>
        <d v="1899-12-30T11:47:51Z"/>
        <d v="1899-12-30T13:42:27Z"/>
        <d v="1899-12-30T13:37:03Z"/>
        <d v="1899-12-30T13:57:53Z"/>
        <d v="1899-12-30T14:35:44Z"/>
        <d v="1899-12-30T13:37:54Z"/>
        <d v="1899-12-30T14:23:56Z"/>
        <d v="1899-12-30T11:10:39Z"/>
        <d v="1899-12-30T12:59:31Z"/>
        <d v="1899-12-30T13:04:08Z"/>
        <d v="1899-12-30T13:20:28Z"/>
        <d v="1899-12-30T14:37:10Z"/>
        <d v="1899-12-30T14:32:25Z"/>
        <d v="1899-12-30T14:28:50Z"/>
        <d v="1899-12-30T14:19:14Z"/>
        <d v="1899-12-30T05:24:44Z"/>
        <d v="1899-12-30T12:39:24Z"/>
        <d v="1899-12-30T12:35:36Z"/>
        <d v="1899-12-30T03:19:52Z"/>
        <d v="1899-12-30T09:05:01Z"/>
        <d v="1899-12-30T13:21:26Z"/>
        <d v="1899-12-30T07:20:14Z"/>
        <d v="1899-12-30T14:12:38Z"/>
        <d v="1899-12-30T10:34:19Z"/>
        <d v="1899-12-30T13:01:21Z"/>
        <d v="1899-12-30T05:11:10Z"/>
        <d v="1899-12-30T14:20:39Z"/>
        <d v="1899-12-30T10:30:56Z"/>
        <d v="1899-12-30T11:32:22Z"/>
        <d v="1899-12-30T13:29:03Z"/>
        <d v="1899-12-30T12:37:24Z"/>
        <d v="1899-12-30T14:23:49Z"/>
        <d v="1899-12-30T11:42:06Z"/>
        <d v="1899-12-30T14:38:55Z"/>
        <d v="1899-12-30T13:43:27Z"/>
        <d v="1899-12-30T14:27:19Z"/>
        <d v="1899-12-30T11:20:45Z"/>
        <d v="1899-12-30T12:52:21Z"/>
        <d v="1899-12-30T11:55:07Z"/>
        <d v="1899-12-30T12:53:44Z"/>
        <d v="1899-12-30T14:36:34Z"/>
        <d v="1899-12-30T14:38:41Z"/>
        <d v="1899-12-30T13:36:28Z"/>
        <d v="1899-12-30T13:29:41Z"/>
        <d v="1899-12-30T14:29:19Z"/>
        <d v="1899-12-30T13:45:35Z"/>
        <d v="1899-12-30T10:13:54Z"/>
        <d v="1899-12-30T13:55:51Z"/>
        <d v="1899-12-30T14:35:21Z"/>
        <d v="1899-12-30T14:29:52Z"/>
        <d v="1899-12-30T05:55:31Z"/>
        <d v="1899-12-30T13:53:32Z"/>
        <d v="1899-12-30T07:53:53Z"/>
        <d v="1899-12-30T10:28:09Z"/>
        <d v="1899-12-30T13:38:28Z"/>
        <d v="1899-12-30T11:38:12Z"/>
        <d v="1899-12-30T08:35:23Z"/>
        <d v="1899-12-30T13:18:43Z"/>
        <d v="1899-12-30T14:23:41Z"/>
        <d v="1899-12-30T14:34:33Z"/>
        <d v="1899-12-30T13:30:06Z"/>
        <d v="1899-12-30T13:39:14Z"/>
        <d v="1899-12-30T09:20:06Z"/>
        <d v="1899-12-30T13:52:13Z"/>
        <d v="1899-12-30T08:56:21Z"/>
        <d v="1899-12-30T08:32:57Z"/>
        <d v="1899-12-30T12:15:07Z"/>
        <d v="1899-12-30T20:04:00Z"/>
        <d v="1899-12-30T13:35:49Z"/>
        <d v="1899-12-30T13:50:55Z"/>
        <d v="1899-12-30T08:01:00Z"/>
        <d v="1899-12-30T14:33:37Z"/>
        <d v="1899-12-30T10:33:10Z"/>
        <d v="1899-12-30T13:55:20Z"/>
        <d v="1899-12-30T12:42:32Z"/>
        <d v="1899-12-30T08:54:21Z"/>
        <d v="1899-12-30T10:14:18Z"/>
        <d v="1899-12-30T08:28:28Z"/>
        <d v="1899-12-30T12:37:50Z"/>
        <d v="1899-12-30T12:00:00Z"/>
        <d v="1899-12-30T09:51:47Z"/>
        <d v="1899-12-30T12:06:49Z"/>
        <d v="1899-12-30T14:13:45Z"/>
        <d v="1899-12-30T14:30:54Z"/>
        <d v="1899-12-30T11:25:29Z"/>
        <d v="1899-12-30T10:32:33Z"/>
        <d v="1899-12-30T06:57:36Z"/>
        <d v="1899-12-30T12:54:58Z"/>
        <d v="1899-12-30T11:02:41Z"/>
        <d v="1899-12-30T14:20:28Z"/>
        <d v="1899-12-30T14:22:40Z"/>
        <d v="1899-12-30T08:56:56Z"/>
        <d v="1899-12-30T10:59:45Z"/>
        <d v="1899-12-30T02:41:31Z"/>
        <d v="1899-12-30T07:28:23Z"/>
        <d v="1899-12-30T14:17:33Z"/>
        <d v="1899-12-30T14:03:37Z"/>
        <d v="1899-12-30T12:23:49Z"/>
        <d v="1899-12-30T02:13:37Z"/>
        <d v="1899-12-30T14:26:56Z"/>
        <d v="1899-12-30T12:38:23Z"/>
        <d v="1899-12-30T13:58:16Z"/>
        <d v="1899-12-30T14:35:39Z"/>
        <d v="1899-12-30T13:43:09Z"/>
        <d v="1899-12-30T11:10:14Z"/>
        <d v="1899-12-30T12:20:57Z"/>
        <d v="1899-12-30T14:27:44Z"/>
        <d v="1899-12-30T14:30:34Z"/>
        <d v="1899-12-30T05:24:43Z"/>
        <d v="1899-12-30T13:26:50Z"/>
        <d v="1899-12-30T12:10:01Z"/>
        <d v="1899-12-30T13:45:48Z"/>
        <d v="1899-12-30T01:24:55Z"/>
        <d v="1899-12-30T14:20:41Z"/>
        <d v="1899-12-30T09:31:57Z"/>
        <d v="1899-12-30T09:38:25Z"/>
        <d v="1899-12-30T17:20:09Z"/>
        <d v="1899-12-30T12:35:55Z"/>
        <d v="1899-12-30T06:16:38Z"/>
        <d v="1899-12-30T12:55:59Z"/>
        <d v="1899-12-30T07:33:28Z"/>
        <d v="1899-12-30T14:34:08Z"/>
        <d v="1899-12-30T07:20:53Z"/>
        <d v="1899-12-30T14:27:47Z"/>
        <d v="1899-12-30T13:32:12Z"/>
        <d v="1899-12-30T14:07:44Z"/>
        <d v="1899-12-30T14:16:36Z"/>
        <d v="1899-12-30T14:26:34Z"/>
        <d v="1899-12-30T14:13:55Z"/>
        <d v="1899-12-30T12:40:47Z"/>
        <d v="1899-12-30T13:07:51Z"/>
        <d v="1899-12-30T14:00:03Z"/>
        <d v="1899-12-30T09:59:16Z"/>
        <d v="1899-12-30T11:13:43Z"/>
        <d v="1899-12-30T19:12:56Z"/>
        <d v="1899-12-30T09:07:23Z"/>
        <d v="1899-12-30T08:06:24Z"/>
        <d v="1899-12-30T13:34:20Z"/>
        <d v="1899-12-30T12:26:00Z"/>
        <d v="1899-12-30T10:03:23Z"/>
        <d v="1899-12-30T09:58:54Z"/>
        <d v="1899-12-30T13:36:12Z"/>
        <d v="1899-12-30T11:10:33Z"/>
        <d v="1899-12-30T13:20:22Z"/>
        <d v="1899-12-30T13:53:48Z"/>
        <d v="1899-12-30T12:34:51Z"/>
        <d v="1899-12-30T13:47:05Z"/>
        <d v="1899-12-30T07:30:02Z"/>
        <d v="1899-12-30T13:05:58Z"/>
        <d v="1899-12-30T13:57:06Z"/>
        <d v="1899-12-30T14:31:02Z"/>
        <d v="1899-12-30T14:10:37Z"/>
        <d v="1899-12-30T13:19:42Z"/>
        <d v="1899-12-30T09:05:29Z"/>
        <d v="1899-12-30T09:29:50Z"/>
        <d v="1899-12-30T13:39:38Z"/>
        <d v="1899-12-30T13:59:08Z"/>
        <d v="1899-12-30T14:12:51Z"/>
        <d v="1899-12-30T10:38:42Z"/>
        <d v="1899-12-30T10:50:16Z"/>
        <d v="1899-12-30T13:46:52Z"/>
        <d v="1899-12-30T09:43:42Z"/>
        <d v="1899-12-30T11:25:55Z"/>
        <d v="1899-12-30T13:56:47Z"/>
        <d v="1899-12-30T14:21:13Z"/>
        <d v="1899-12-30T09:25:51Z"/>
        <d v="1899-12-30T03:15:51Z"/>
        <d v="1899-12-30T14:17:11Z"/>
        <d v="1899-12-30T13:22:33Z"/>
        <d v="1899-12-30T13:28:49Z"/>
        <d v="1899-12-30T11:53:09Z"/>
        <d v="1899-12-30T13:16:15Z"/>
        <d v="1899-12-30T14:14:44Z"/>
        <d v="1899-12-30T13:28:56Z"/>
        <d v="1899-12-30T14:06:30Z"/>
        <d v="1899-12-30T09:33:03Z"/>
        <d v="1899-12-30T14:10:18Z"/>
        <d v="1899-12-30T13:37:41Z"/>
        <d v="1899-12-30T07:49:28Z"/>
        <d v="1899-12-30T11:58:19Z"/>
        <d v="1899-12-30T14:28:13Z"/>
        <d v="1899-12-30T11:09:37Z"/>
        <d v="1899-12-30T11:29:06Z"/>
        <d v="1899-12-30T14:18:38Z"/>
        <d v="1899-12-30T14:14:00Z"/>
        <d v="1899-12-30T06:38:56Z"/>
        <d v="1899-12-30T05:40:02Z"/>
        <d v="1899-12-30T14:21:15Z"/>
        <d v="1899-12-30T06:06:04Z"/>
        <d v="1899-12-30T14:39:34Z"/>
        <d v="1899-12-30T12:50:19Z"/>
        <d v="1899-12-30T12:59:02Z"/>
        <d v="1899-12-30T09:52:23Z"/>
        <d v="1899-12-30T11:44:04Z"/>
        <d v="1899-12-30T10:50:18Z"/>
        <d v="1899-12-30T13:17:59Z"/>
        <d v="1899-12-30T14:23:54Z"/>
        <d v="1899-12-30T12:57:23Z"/>
        <d v="1899-12-30T11:08:36Z"/>
        <d v="1899-12-30T12:38:37Z"/>
        <d v="1899-12-30T13:21:55Z"/>
        <d v="1899-12-30T14:04:01Z"/>
        <d v="1899-12-30T10:35:07Z"/>
        <d v="1899-12-30T08:00:22Z"/>
        <d v="1899-12-30T14:38:38Z"/>
        <d v="1899-12-30T12:58:09Z"/>
        <d v="1899-12-30T13:45:32Z"/>
        <d v="1899-12-30T11:27:58Z"/>
        <d v="1899-12-30T14:04:25Z"/>
        <d v="1899-12-30T13:55:29Z"/>
        <d v="1899-12-30T12:55:25Z"/>
        <d v="1899-12-30T05:24:29Z"/>
        <d v="1899-12-30T13:29:32Z"/>
        <d v="1899-12-30T13:48:50Z"/>
        <d v="1899-12-30T11:10:08Z"/>
        <d v="1899-12-30T12:17:22Z"/>
        <d v="1899-12-30T13:41:49Z"/>
        <d v="1899-12-30T13:34:25Z"/>
        <d v="1899-12-30T11:34:23Z"/>
        <d v="1899-12-30T14:15:00Z"/>
        <d v="1899-12-30T11:05:05Z"/>
        <d v="1899-12-30T11:51:15Z"/>
        <d v="1899-12-30T12:36:15Z"/>
        <d v="1899-12-30T13:20:20Z"/>
        <d v="1899-12-30T12:52:01Z"/>
        <d v="1899-12-30T14:35:07Z"/>
        <d v="1899-12-30T14:15:17Z"/>
        <d v="1899-12-30T13:49:28Z"/>
        <d v="1899-12-30T13:59:07Z"/>
        <d v="1899-12-30T14:02:14Z"/>
        <d v="1899-12-30T13:38:31Z"/>
        <d v="1899-12-30T10:02:01Z"/>
        <d v="1899-12-30T13:05:57Z"/>
        <d v="1899-12-30T14:12:52Z"/>
        <d v="1899-12-30T12:37:38Z"/>
        <d v="1899-12-30T01:24:03Z"/>
        <d v="1899-12-30T14:21:12Z"/>
        <d v="1899-12-30T10:16:12Z"/>
        <d v="1899-12-30T14:35:03Z"/>
        <d v="1899-12-30T13:29:10Z"/>
        <d v="1899-12-30T10:33:53Z"/>
        <d v="1899-12-30T14:01:24Z"/>
        <d v="1899-12-30T13:43:21Z"/>
        <d v="1899-12-30T07:34:06Z"/>
        <d v="1899-12-30T08:37:52Z"/>
        <d v="1899-12-30T14:06:08Z"/>
        <d v="1899-12-30T01:20:04Z"/>
        <d v="1899-12-30T13:35:18Z"/>
        <d v="1899-12-30T10:05:01Z"/>
        <d v="1899-12-30T16:30:58Z"/>
        <d v="1899-12-30T13:12:48Z"/>
        <d v="1899-12-30T08:09:53Z"/>
        <d v="1899-12-30T14:18:55Z"/>
        <d v="1899-12-30T13:47:30Z"/>
        <d v="1899-12-30T13:25:17Z"/>
        <d v="1899-12-30T13:20:59Z"/>
        <d v="1899-12-30T14:31:22Z"/>
        <d v="1899-12-30T13:06:27Z"/>
        <d v="1899-12-30T13:45:16Z"/>
        <d v="1899-12-30T09:18:05Z"/>
        <d v="1899-12-30T11:29:00Z"/>
        <d v="1899-12-30T14:38:52Z"/>
        <d v="1899-12-30T13:45:12Z"/>
        <d v="1899-12-30T14:08:02Z"/>
        <d v="1899-12-30T14:33:33Z"/>
        <d v="1899-12-30T12:58:44Z"/>
        <d v="1899-12-30T12:32:39Z"/>
        <d v="1899-12-30T12:55:39Z"/>
        <d v="1899-12-30T12:47:59Z"/>
        <d v="1899-12-30T14:22:49Z"/>
        <d v="1899-12-30T08:57:14Z"/>
        <d v="1899-12-30T10:01:07Z"/>
        <d v="1899-12-30T14:12:06Z"/>
        <d v="1899-12-30T14:35:23Z"/>
        <d v="1899-12-30T12:38:08Z"/>
        <d v="1899-12-30T13:54:17Z"/>
        <d v="1899-12-30T13:30:13Z"/>
        <d v="1899-12-30T14:18:50Z"/>
        <d v="1899-12-30T08:10:06Z"/>
        <d v="1899-12-30T06:44:49Z"/>
        <d v="1899-12-30T11:05:43Z"/>
        <d v="1899-12-30T11:05:08Z"/>
        <d v="1899-12-30T13:17:33Z"/>
        <d v="1899-12-30T12:20:18Z"/>
        <d v="1899-12-30T14:23:34Z"/>
        <d v="1899-12-30T08:09:15Z"/>
        <d v="1899-12-30T00:12:46Z"/>
        <d v="1899-12-30T14:27:41Z"/>
        <d v="1899-12-30T13:30:21Z"/>
        <d v="1899-12-30T13:46:44Z"/>
        <d v="1899-12-30T10:42:51Z"/>
        <d v="1899-12-30T08:55:33Z"/>
        <d v="1899-12-30T02:06:42Z"/>
        <d v="1899-12-30T10:35:35Z"/>
        <d v="1899-12-30T13:49:54Z"/>
        <d v="1899-12-30T10:49:20Z"/>
        <d v="1899-12-30T10:59:39Z"/>
        <d v="1899-12-30T14:00:51Z"/>
        <d v="1899-12-30T17:32:30Z"/>
        <d v="1899-12-30T13:04:51Z"/>
        <d v="1899-12-30T21:45:01Z"/>
        <d v="1899-12-30T12:18:00Z"/>
        <d v="1899-12-30T14:22:45Z"/>
        <d v="1899-12-30T08:18:05Z"/>
        <d v="1899-12-30T13:15:55Z"/>
        <d v="1899-12-30T12:47:42Z"/>
        <d v="1899-12-30T13:22:49Z"/>
        <d v="1899-12-30T11:47:43Z"/>
        <d v="1899-12-30T13:32:03Z"/>
        <d v="1899-12-30T09:59:41Z"/>
        <d v="1899-12-30T09:01:18Z"/>
        <d v="1899-12-30T04:03:07Z"/>
        <d v="1899-12-30T13:28:43Z"/>
        <d v="1899-12-30T02:10:13Z"/>
        <d v="1899-12-30T13:16:33Z"/>
        <d v="1899-12-30T11:21:22Z"/>
        <d v="1899-12-30T13:33:48Z"/>
        <d v="1899-12-30T11:35:08Z"/>
        <d v="1899-12-30T14:30:59Z"/>
        <d v="1899-12-30T04:34:38Z"/>
        <d v="1899-12-30T12:24:50Z"/>
        <d v="1899-12-30T09:04:54Z"/>
        <d v="1899-12-30T03:27:42Z"/>
        <d v="1899-12-30T13:58:28Z"/>
        <d v="1899-12-30T14:23:21Z"/>
        <d v="1899-12-30T14:28:58Z"/>
        <d v="1899-12-30T14:32:43Z"/>
        <d v="1899-12-30T14:31:08Z"/>
        <d v="1899-12-30T13:39:13Z"/>
        <d v="1899-12-30T09:35:36Z"/>
        <d v="1899-12-30T06:26:09Z"/>
        <d v="1899-12-30T11:29:19Z"/>
        <d v="1899-12-30T12:53:38Z"/>
        <d v="1899-12-30T09:25:52Z"/>
        <d v="1899-12-30T14:15:01Z"/>
        <d v="1899-12-30T13:07:13Z"/>
        <d v="1899-12-30T09:09:07Z"/>
        <d v="1899-12-30T13:01:20Z"/>
        <d v="1899-12-30T09:57:53Z"/>
        <d v="1899-12-30T13:25:52Z"/>
        <d v="1899-12-30T14:13:27Z"/>
        <d v="1899-12-30T12:54:05Z"/>
        <d v="1899-12-30T11:41:26Z"/>
        <d v="1899-12-30T04:34:46Z"/>
        <d v="1899-12-30T11:20:34Z"/>
        <d v="1899-12-30T14:36:18Z"/>
        <d v="1899-12-30T13:37:14Z"/>
        <d v="1899-12-30T12:43:27Z"/>
        <d v="1899-12-30T14:24:44Z"/>
        <d v="1899-12-30T12:55:20Z"/>
        <d v="1899-12-30T14:16:47Z"/>
        <d v="1899-12-30T09:38:59Z"/>
        <d v="1899-12-30T08:34:41Z"/>
        <d v="1899-12-30T03:06:33Z"/>
        <d v="1899-12-30T11:44:51Z"/>
        <d v="1899-12-30T11:21:52Z"/>
        <d v="1899-12-30T13:39:31Z"/>
        <d v="1899-12-30T08:27:53Z"/>
        <d v="1899-12-30T14:39:10Z"/>
        <d v="1899-12-30T06:18:02Z"/>
        <d v="1899-12-30T13:50:51Z"/>
        <d v="1899-12-30T14:37:21Z"/>
        <d v="1899-12-30T13:49:05Z"/>
        <d v="1899-12-30T21:52:01Z"/>
        <d v="1899-12-30T13:22:55Z"/>
        <d v="1899-12-30T06:42:21Z"/>
        <d v="1899-12-30T13:38:11Z"/>
        <d v="1899-12-30T12:27:18Z"/>
        <d v="1899-12-30T13:01:18Z"/>
        <d v="1899-12-30T16:21:55Z"/>
        <d v="1899-12-30T13:52:51Z"/>
        <d v="1899-12-30T13:19:14Z"/>
        <d v="1899-12-30T12:37:25Z"/>
        <d v="1899-12-30T13:22:07Z"/>
        <d v="1899-12-30T14:01:12Z"/>
        <d v="1899-12-30T14:03:07Z"/>
        <d v="1899-12-30T08:03:45Z"/>
        <d v="1899-12-30T14:38:24Z"/>
        <d v="1899-12-30T14:39:19Z"/>
        <d v="1899-12-30T14:34:17Z"/>
        <d v="1899-12-30T06:22:11Z"/>
        <d v="1899-12-30T06:39:13Z"/>
        <d v="1899-12-30T14:26:38Z"/>
        <d v="1899-12-30T14:14:33Z"/>
        <d v="1899-12-30T12:36:08Z"/>
        <d v="1899-12-30T14:18:58Z"/>
        <d v="1899-12-30T13:28:44Z"/>
        <d v="1899-12-30T14:36:48Z"/>
        <d v="1899-12-30T14:36:42Z"/>
        <d v="1899-12-30T11:33:41Z"/>
        <d v="1899-12-30T08:56:14Z"/>
        <d v="1899-12-30T11:34:11Z"/>
        <d v="1899-12-30T13:02:52Z"/>
        <d v="1899-12-30T14:10:51Z"/>
        <d v="1899-12-30T12:29:43Z"/>
        <d v="1899-12-30T11:51:06Z"/>
        <d v="1899-12-30T09:29:31Z"/>
        <d v="1899-12-30T13:42:32Z"/>
        <d v="1899-12-30T12:53:29Z"/>
        <d v="1899-12-30T06:41:06Z"/>
        <d v="1899-12-30T10:22:00Z"/>
        <d v="1899-12-30T12:38:20Z"/>
        <d v="1899-12-30T11:59:39Z"/>
        <d v="1899-12-30T14:23:40Z"/>
        <d v="1899-12-30T14:10:44Z"/>
        <d v="1899-12-30T13:22:57Z"/>
        <d v="1899-12-30T10:53:32Z"/>
        <d v="1899-12-30T06:35:20Z"/>
        <d v="1899-12-30T14:32:46Z"/>
        <d v="1899-12-30T13:04:26Z"/>
        <d v="1899-12-30T13:45:43Z"/>
        <d v="1899-12-30T07:49:46Z"/>
        <d v="1899-12-30T14:27:33Z"/>
        <d v="1899-12-30T07:10:30Z"/>
        <d v="1899-12-30T13:14:16Z"/>
        <d v="1899-12-30T12:35:56Z"/>
        <d v="1899-12-30T02:15:15Z"/>
        <d v="1899-12-30T09:48:47Z"/>
        <d v="1899-12-30T05:18:53Z"/>
        <d v="1899-12-30T16:15:24Z"/>
        <d v="1899-12-30T13:30:56Z"/>
        <d v="1899-12-30T11:59:00Z"/>
        <d v="1899-12-30T13:04:53Z"/>
        <d v="1899-12-30T13:52:58Z"/>
        <d v="1899-12-30T12:42:30Z"/>
        <d v="1899-12-30T02:43:09Z"/>
        <d v="1899-12-30T11:28:09Z"/>
        <d v="1899-12-30T12:36:58Z"/>
        <d v="1899-12-30T12:34:26Z"/>
        <d v="1899-12-30T14:04:29Z"/>
        <d v="1899-12-30T09:54:15Z"/>
        <d v="1899-12-30T14:28:16Z"/>
        <d v="1899-12-30T11:35:02Z"/>
        <d v="1899-12-30T14:07:38Z"/>
        <d v="1899-12-30T12:57:26Z"/>
        <d v="1899-12-30T12:08:01Z"/>
        <d v="1899-12-30T14:02:54Z"/>
        <d v="1899-12-30T12:49:49Z"/>
        <d v="1899-12-30T14:31:18Z"/>
        <d v="1899-12-30T10:55:48Z"/>
        <d v="1899-12-30T11:59:51Z"/>
        <d v="1899-12-30T01:53:35Z"/>
        <d v="1899-12-30T14:09:52Z"/>
        <d v="1899-12-30T09:42:56Z"/>
        <d v="1899-12-30T14:01:40Z"/>
        <d v="1899-12-30T12:11:56Z"/>
        <d v="1899-12-30T06:49:17Z"/>
        <d v="1899-12-30T10:51:19Z"/>
        <d v="1899-12-30T12:20:16Z"/>
        <d v="1899-12-30T13:41:10Z"/>
        <d v="1899-12-30T13:46:21Z"/>
        <d v="1899-12-30T12:25:55Z"/>
        <d v="1899-12-30T14:07:49Z"/>
        <d v="1899-12-30T14:14:43Z"/>
        <d v="1899-12-30T13:46:49Z"/>
        <d v="1899-12-30T12:43:49Z"/>
        <d v="1899-12-30T10:51:59Z"/>
        <d v="1899-12-30T13:45:23Z"/>
        <d v="1899-12-30T13:33:52Z"/>
        <d v="1899-12-30T14:38:31Z"/>
        <d v="1899-12-30T11:53:56Z"/>
        <d v="1899-12-30T10:14:21Z"/>
        <d v="1899-12-30T13:53:44Z"/>
        <d v="1899-12-30T09:26:46Z"/>
        <d v="1899-12-30T13:23:49Z"/>
        <d v="1899-12-30T09:05:24Z"/>
        <d v="1899-12-30T11:21:06Z"/>
        <d v="1899-12-30T07:19:09Z"/>
        <d v="1899-12-30T11:50:03Z"/>
        <d v="1899-12-30T14:23:28Z"/>
        <d v="1899-12-30T09:07:34Z"/>
        <d v="1899-12-30T09:38:14Z"/>
        <d v="1899-12-30T08:37:53Z"/>
        <d v="1899-12-30T13:56:05Z"/>
        <d v="1899-12-30T14:15:35Z"/>
        <d v="1899-12-30T18:24:25Z"/>
        <d v="1899-12-30T13:15:45Z"/>
        <d v="1899-12-30T06:50:49Z"/>
        <d v="1899-12-30T09:48:16Z"/>
        <d v="1899-12-30T12:24:17Z"/>
        <d v="1899-12-30T12:45:05Z"/>
        <d v="1899-12-30T14:18:45Z"/>
        <d v="1899-12-30T13:46:33Z"/>
        <d v="1899-12-30T14:26:16Z"/>
        <d v="1899-12-30T14:26:39Z"/>
        <d v="1899-12-30T10:20:59Z"/>
        <d v="1899-12-30T13:03:51Z"/>
        <d v="1899-12-30T13:00:55Z"/>
        <d v="1899-12-30T13:06:22Z"/>
        <d v="1899-12-30T12:37:33Z"/>
        <d v="1899-12-30T00:31:54Z"/>
        <d v="1899-12-30T10:09:18Z"/>
        <d v="1899-12-30T13:57:07Z"/>
        <d v="1899-12-30T10:07:16Z"/>
        <d v="1899-12-30T14:45:17Z"/>
        <d v="1899-12-30T11:51:57Z"/>
        <d v="1899-12-30T11:45:02Z"/>
        <d v="1899-12-30T11:18:52Z"/>
        <d v="1899-12-30T15:43:32Z"/>
        <d v="1899-12-30T11:48:18Z"/>
        <d v="1899-12-30T13:50:45Z"/>
        <d v="1899-12-30T13:42:29Z"/>
        <d v="1899-12-30T12:03:59Z"/>
        <d v="1899-12-30T13:36:27Z"/>
        <d v="1899-12-30T10:08:17Z"/>
        <d v="1899-12-30T18:23:33Z"/>
        <d v="1899-12-30T12:57:41Z"/>
        <d v="1899-12-30T13:48:58Z"/>
        <d v="1899-12-30T14:11:32Z"/>
        <d v="1899-12-30T13:46:28Z"/>
        <d v="1899-12-30T10:17:39Z"/>
        <d v="1899-12-30T12:19:57Z"/>
        <d v="1899-12-30T12:16:00Z"/>
        <d v="1899-12-30T06:00:43Z"/>
        <d v="1899-12-30T12:36:24Z"/>
        <d v="1899-12-30T14:23:38Z"/>
        <d v="1899-12-30T08:06:54Z"/>
        <d v="1899-12-30T11:13:26Z"/>
        <d v="1899-12-30T14:10:21Z"/>
        <d v="1899-12-30T11:55:35Z"/>
        <d v="1899-12-30T12:47:28Z"/>
        <d v="1899-12-30T14:16:07Z"/>
        <d v="1899-12-30T11:21:00Z"/>
        <d v="1899-12-30T12:17:56Z"/>
        <d v="1899-12-30T13:56:11Z"/>
        <d v="1899-12-30T07:34:45Z"/>
        <d v="1899-12-30T12:32:52Z"/>
        <d v="1899-12-30T03:27:38Z"/>
        <d v="1899-12-30T10:20:57Z"/>
        <d v="1899-12-30T14:34:55Z"/>
        <d v="1899-12-30T14:35:28Z"/>
        <d v="1899-12-30T10:20:34Z"/>
        <d v="1899-12-30T08:41:57Z"/>
        <d v="1899-12-30T13:52:30Z"/>
        <d v="1899-12-30T12:35:26Z"/>
        <d v="1899-12-30T13:37:22Z"/>
        <d v="1899-12-30T12:25:04Z"/>
        <d v="1899-12-30T14:17:37Z"/>
        <d v="1899-12-30T11:25:37Z"/>
        <d v="1899-12-30T08:29:50Z"/>
        <d v="1899-12-30T23:39:13Z"/>
        <d v="1899-12-30T06:17:47Z"/>
        <d v="1899-12-30T03:01:05Z"/>
        <d v="1899-12-30T10:17:28Z"/>
        <d v="1899-12-30T08:35:52Z"/>
        <d v="1899-12-30T14:00:20Z"/>
        <d v="1899-12-30T05:40:12Z"/>
        <d v="1899-12-30T13:59:11Z"/>
        <d v="1899-12-30T10:55:43Z"/>
        <d v="1899-12-30T12:05:22Z"/>
        <d v="1899-12-30T11:56:44Z"/>
        <d v="1899-12-30T13:23:29Z"/>
        <d v="1899-12-30T09:30:00Z"/>
        <d v="1899-12-30T14:34:25Z"/>
        <d v="1899-12-30T08:48:51Z"/>
        <d v="1899-12-30T20:33:42Z"/>
        <d v="1899-12-30T13:01:24Z"/>
        <d v="1899-12-30T13:07:32Z"/>
        <d v="1899-12-30T14:14:39Z"/>
        <d v="1899-12-30T10:43:43Z"/>
        <d v="1899-12-30T15:45:46Z"/>
        <d v="1899-12-30T08:46:00Z"/>
        <d v="1899-12-30T07:18:17Z"/>
        <d v="1899-12-30T13:40:24Z"/>
        <d v="1899-12-30T09:58:38Z"/>
        <d v="1899-12-30T06:30:36Z"/>
        <d v="1899-12-30T14:40:55Z"/>
        <d v="1899-12-30T13:04:31Z"/>
        <d v="1899-12-30T18:35:35Z"/>
        <d v="1899-12-30T09:04:19Z"/>
        <d v="1899-12-30T17:38:15Z"/>
        <d v="1899-12-30T06:39:33Z"/>
        <d v="1899-12-30T14:33:58Z"/>
        <d v="1899-12-30T13:50:10Z"/>
        <d v="1899-12-30T12:25:33Z"/>
        <d v="1899-12-30T13:48:21Z"/>
        <d v="1899-12-30T05:15:55Z"/>
        <d v="1899-12-30T13:06:08Z"/>
        <d v="1899-12-30T02:44:14Z"/>
        <d v="1899-12-30T13:55:14Z"/>
        <d v="1899-12-30T12:58:01Z"/>
        <d v="1899-12-30T01:55:45Z"/>
        <d v="1899-12-30T11:07:37Z"/>
        <d v="1899-12-30T09:49:45Z"/>
      </sharedItems>
    </cacheField>
    <cacheField name="Tempo desde o Ultimo Update (Horas)" numFmtId="0">
      <sharedItems containsSemiMixedTypes="0" containsString="0" containsNumber="1">
        <n v="134.1163888888889"/>
        <n v="132.96388888888887"/>
        <n v="134.61722222222224"/>
        <n v="134.57527777777779"/>
        <n v="134.61555555555555"/>
        <n v="134.61111111111111"/>
        <n v="134.45111111111112"/>
        <n v="134.4825"/>
        <n v="134.36555555555555"/>
        <n v="134.55"/>
        <n v="134.1213888888889"/>
        <n v="134.41666666666666"/>
        <n v="134.25722222222223"/>
        <n v="134.1913888888889"/>
        <n v="134.01055555555556"/>
        <n v="134.6036111111111"/>
        <n v="134.5663888888889"/>
        <n v="133.1638888888889"/>
        <n v="134.0125"/>
        <n v="134.62527777777777"/>
        <n v="134.15277777777777"/>
        <n v="134.19166666666666"/>
        <n v="134.41805555555555"/>
        <n v="132.81833333333333"/>
        <n v="134.27555555555557"/>
        <n v="134.41055555555556"/>
        <n v="134.49416666666667"/>
        <n v="134.35555555555555"/>
        <n v="133.33444444444444"/>
        <n v="134.36805555555554"/>
        <n v="134.6213888888889"/>
        <n v="134.08805555555557"/>
        <n v="134.4897222222222"/>
        <n v="134.56416666666667"/>
        <n v="134.24583333333334"/>
        <n v="134.57333333333332"/>
        <n v="134.1175"/>
        <n v="134.0575"/>
        <n v="133.855"/>
        <n v="134.50333333333333"/>
        <n v="133.97916666666666"/>
        <n v="134.4597222222222"/>
        <n v="134.57416666666666"/>
        <n v="134.12055555555557"/>
        <n v="134.51361111111112"/>
        <n v="134.27194444444444"/>
        <n v="134.26944444444445"/>
        <n v="132.94972222222222"/>
        <n v="133.8972222222222"/>
        <n v="134.45305555555555"/>
        <n v="134.57250000000002"/>
        <n v="134.56694444444443"/>
        <n v="134.60694444444445"/>
        <n v="134.3475"/>
        <n v="134.4572222222222"/>
        <n v="133.25027777777777"/>
        <n v="134.40527777777777"/>
        <n v="134.4975"/>
        <n v="133.2147222222222"/>
        <n v="133.85194444444446"/>
        <n v="134.425"/>
        <n v="133.825"/>
        <n v="134.46"/>
        <n v="133.33555555555554"/>
        <n v="134.56166666666667"/>
        <n v="134.05583333333334"/>
        <n v="134.24305555555554"/>
        <n v="132.59444444444446"/>
        <n v="134.26611111111112"/>
        <n v="134.59916666666666"/>
        <n v="132.7511111111111"/>
        <n v="134.04861111111111"/>
        <n v="134.33833333333334"/>
        <n v="134.61583333333334"/>
        <n v="134.44055555555556"/>
        <n v="130.67555555555558"/>
        <n v="134.1847222222222"/>
        <n v="134.18305555555557"/>
        <n v="134.20361111111112"/>
        <n v="134.50694444444446"/>
        <n v="134.3775"/>
        <n v="134.44805555555556"/>
        <n v="129.8175"/>
        <n v="128.59833333333333"/>
        <n v="133.51416666666668"/>
        <n v="134.2463888888889"/>
        <n v="134.4661111111111"/>
        <n v="133.47694444444446"/>
        <n v="134.51416666666668"/>
        <n v="134.46805555555554"/>
        <n v="134.36277777777778"/>
        <n v="132.60055555555556"/>
        <n v="133.07611111111112"/>
        <n v="134.61527777777778"/>
        <n v="133.53305555555556"/>
        <n v="134.40916666666666"/>
        <n v="131.6925"/>
        <n v="133.8963888888889"/>
        <n v="133.76666666666668"/>
        <n v="134.39305555555555"/>
        <n v="134.22222222222223"/>
        <n v="134.34222222222223"/>
        <n v="131.92194444444445"/>
        <n v="130.22833333333332"/>
        <n v="134.04527777777778"/>
        <n v="134.5913888888889"/>
        <n v="134.5838888888889"/>
        <n v="132.8411111111111"/>
        <n v="130.4647222222222"/>
        <n v="134.62916666666666"/>
        <n v="134.50555555555556"/>
        <n v="133.2736111111111"/>
        <n v="134.26666666666668"/>
        <n v="134.30166666666668"/>
        <n v="134.3413888888889"/>
        <n v="132.67777777777778"/>
        <n v="133.71777777777777"/>
        <n v="134.22055555555556"/>
        <n v="133.12666666666667"/>
        <n v="134.37333333333333"/>
        <n v="133.73166666666665"/>
        <n v="134.35472222222222"/>
        <n v="134.62722222222223"/>
        <n v="132.55333333333334"/>
        <n v="134.41166666666666"/>
        <n v="134.08777777777777"/>
        <n v="134.00055555555556"/>
        <n v="133.43833333333333"/>
        <n v="133.90194444444444"/>
        <n v="134.20333333333332"/>
        <n v="134.10416666666666"/>
        <n v="133.16416666666666"/>
        <n v="133.51444444444445"/>
        <n v="134.39777777777778"/>
        <n v="134.60472222222222"/>
        <n v="133.29222222222222"/>
        <n v="132.8813888888889"/>
        <n v="134.18805555555556"/>
        <n v="134.63055555555556"/>
        <n v="134.45083333333335"/>
        <n v="133.2725"/>
        <n v="134.3463888888889"/>
        <n v="134.3863888888889"/>
        <n v="134.47944444444445"/>
        <n v="134.51388888888889"/>
        <n v="134.465"/>
        <n v="132.64083333333332"/>
        <n v="134.29555555555555"/>
        <n v="134.46777777777777"/>
        <n v="134.3211111111111"/>
        <n v="133.8136111111111"/>
        <n v="133.17166666666668"/>
        <n v="134.50722222222223"/>
        <n v="134.49805555555557"/>
        <n v="133.94277777777776"/>
        <n v="133.39444444444445"/>
        <n v="134.54194444444445"/>
        <n v="134.0588888888889"/>
        <n v="134.24027777777778"/>
        <n v="131.51638888888888"/>
        <n v="132.55472222222224"/>
        <n v="129.97222222222223"/>
        <n v="130.06416666666667"/>
        <n v="132.85305555555556"/>
        <n v="134.30472222222224"/>
        <n v="131.78"/>
        <n v="132.13194444444446"/>
        <n v="132.08833333333334"/>
        <n v="134.55444444444444"/>
        <n v="132.68305555555557"/>
        <n v="134.4063888888889"/>
        <n v="131.27333333333334"/>
        <n v="130.9288888888889"/>
        <n v="132.60888888888888"/>
        <n v="132.75472222222223"/>
        <n v="134.5775"/>
        <n v="132.4688888888889"/>
        <n v="134.0886111111111"/>
        <n v="134.0911111111111"/>
        <n v="133.93916666666667"/>
        <n v="132.63472222222222"/>
        <n v="133.33333333333334"/>
        <n v="127.68972222222222"/>
        <n v="129.82"/>
        <n v="134.63666666666666"/>
        <n v="134.33638888888888"/>
        <n v="133.0522222222222"/>
        <n v="133.92666666666668"/>
        <n v="134.44944444444442"/>
        <n v="125.41277777777778"/>
        <n v="134.63500000000002"/>
        <n v="134.42055555555555"/>
        <n v="133.46"/>
        <n v="134.06861111111112"/>
        <n v="134.55833333333334"/>
        <n v="134.62305555555557"/>
        <n v="133.8763888888889"/>
        <n v="132.36027777777778"/>
        <n v="133.23361111111112"/>
        <n v="132.94472222222223"/>
        <n v="130.6"/>
        <n v="134.3738888888889"/>
        <n v="134.0536111111111"/>
        <n v="134.2472222222222"/>
        <n v="133.9897222222222"/>
        <n v="133.97305555555556"/>
        <n v="134.40583333333333"/>
        <n v="129.84027777777777"/>
        <n v="134.50166666666667"/>
        <n v="131.09944444444443"/>
        <n v="134.43666666666667"/>
        <n v="134.31694444444443"/>
        <n v="134.19"/>
        <n v="134.1902777777778"/>
        <n v="134.0688888888889"/>
        <n v="134.49944444444444"/>
        <n v="134.13166666666666"/>
        <n v="133.8375"/>
        <n v="133.26611111111112"/>
        <n v="134.5275"/>
        <n v="134.37527777777777"/>
        <n v="132.37277777777777"/>
        <n v="133.26388888888889"/>
        <n v="129.61555555555555"/>
        <n v="132.40777777777777"/>
        <n v="134.4261111111111"/>
        <n v="123.71833333333333"/>
        <n v="129.4011111111111"/>
        <n v="133.47722222222222"/>
        <n v="133.39583333333334"/>
        <n v="132.46666666666667"/>
        <n v="132.83527777777778"/>
        <n v="134.62083333333334"/>
        <n v="131.7902777777778"/>
        <n v="134.02277777777778"/>
        <n v="134.44444444444446"/>
        <n v="133.97722222222222"/>
        <n v="133.98833333333334"/>
        <n v="134.23833333333334"/>
        <n v="134.61777777777777"/>
        <n v="133.96388888888887"/>
        <n v="134.23444444444445"/>
        <n v="133.60027777777776"/>
        <n v="134.57944444444445"/>
        <n v="132.0413888888889"/>
        <n v="164.62916666666666"/>
        <n v="134.58444444444444"/>
        <n v="134.48222222222222"/>
        <n v="129.62055555555557"/>
        <n v="134.1013888888889"/>
        <n v="134.01805555555555"/>
        <n v="134.29194444444445"/>
        <n v="127.02944444444444"/>
        <n v="134.4025"/>
        <n v="134.54916666666665"/>
        <n v="132.92638888888888"/>
        <n v="127.15"/>
        <n v="134.12666666666667"/>
        <n v="134.19194444444443"/>
        <n v="134.4125"/>
        <n v="134.64416666666665"/>
        <n v="133.58333333333334"/>
        <n v="133.95361111111112"/>
        <n v="130.97916666666666"/>
        <n v="133.91472222222222"/>
        <n v="134.28027777777777"/>
        <n v="134.3786111111111"/>
        <n v="130.70277777777778"/>
        <n v="134.13416666666666"/>
        <n v="134.37722222222223"/>
        <n v="134.49833333333333"/>
        <n v="130.28333333333333"/>
        <n v="134.53861111111112"/>
        <n v="133.11833333333334"/>
        <n v="134.4386111111111"/>
        <n v="134.60805555555555"/>
        <n v="203.5991666666667"/>
        <n v="134.3936111111111"/>
        <n v="128.50194444444443"/>
        <n v="133.51805555555555"/>
        <n v="131.49916666666667"/>
        <n v="134.14111111111112"/>
        <n v="132.86777777777777"/>
        <n v="134.44583333333333"/>
        <n v="134.2736111111111"/>
        <n v="132.10777777777778"/>
        <n v="131.28472222222223"/>
        <n v="134.04361111111112"/>
        <n v="133.91333333333333"/>
        <n v="132.96722222222223"/>
        <n v="123.21277777777777"/>
        <n v="133.65333333333334"/>
        <n v="134.28416666666666"/>
        <n v="131.89083333333332"/>
        <n v="134.6186111111111"/>
        <n v="132.95527777777778"/>
        <n v="133.97972222222222"/>
        <n v="129.3238888888889"/>
        <n v="133.17777777777778"/>
        <n v="134.19750000000002"/>
        <n v="134.14277777777778"/>
        <n v="134.31833333333333"/>
        <n v="131.64527777777778"/>
        <n v="128.59472222222223"/>
        <n v="127.34611111111111"/>
        <n v="129.90472222222223"/>
        <n v="122.25583333333334"/>
        <n v="129.53083333333333"/>
        <n v="134.55666666666667"/>
        <n v="134.5836111111111"/>
        <n v="129.25722222222223"/>
        <n v="133.36972222222224"/>
        <n v="134.58583333333334"/>
        <n v="132.48722222222221"/>
        <n v="133.6238888888889"/>
        <n v="134.65055555555557"/>
        <n v="128.66694444444445"/>
        <n v="133.77277777777778"/>
        <n v="133.43055555555554"/>
        <n v="132.2788888888889"/>
        <n v="134.47166666666666"/>
        <n v="129.46194444444444"/>
        <n v="134.2188888888889"/>
        <n v="132.6213888888889"/>
        <n v="125.42027777777777"/>
        <n v="134.01611111111112"/>
        <n v="134.35888888888888"/>
        <n v="134.53472222222223"/>
        <n v="134.09666666666666"/>
        <n v="134.31166666666667"/>
        <n v="132.63416666666666"/>
        <n v="133.6286111111111"/>
        <n v="134.31805555555556"/>
        <n v="133.16833333333335"/>
        <n v="134.13611111111112"/>
        <n v="132.78916666666666"/>
        <n v="132.5338888888889"/>
        <n v="133.60861111111112"/>
        <n v="132.63583333333332"/>
        <n v="134.43805555555556"/>
        <n v="134.5625"/>
        <n v="134.54583333333332"/>
        <n v="134.34583333333333"/>
        <n v="133.5225"/>
        <n v="134.6013888888889"/>
        <n v="134.62666666666667"/>
        <n v="132.77388888888888"/>
        <n v="133.22027777777777"/>
        <n v="133.85833333333332"/>
        <n v="126.90055555555556"/>
        <n v="134.63805555555555"/>
        <n v="134.36972222222224"/>
        <n v="123.69611111111111"/>
        <n v="134.2227777777778"/>
        <n v="131.39444444444445"/>
        <n v="134.6275"/>
        <n v="123.23055555555555"/>
        <n v="134.13861111111112"/>
        <n v="133.0636111111111"/>
        <n v="133.17277777777778"/>
        <n v="129.575"/>
        <n v="133.07777777777778"/>
        <n v="134.4163888888889"/>
        <n v="131.3525"/>
        <n v="132.43"/>
        <n v="128.4961111111111"/>
        <n v="134.62166666666667"/>
        <n v="134.43916666666667"/>
        <n v="132.62694444444443"/>
        <n v="134.50194444444443"/>
        <n v="129.32833333333332"/>
        <n v="134.47805555555556"/>
        <n v="134.45166666666668"/>
        <n v="131.7975"/>
        <n v="133.7075"/>
        <n v="133.6175"/>
        <n v="133.9647222222222"/>
        <n v="134.59555555555556"/>
        <n v="133.63166666666666"/>
        <n v="134.39888888888888"/>
        <n v="131.17749999999998"/>
        <n v="132.99194444444444"/>
        <n v="133.0688888888889"/>
        <n v="133.3411111111111"/>
        <n v="134.61944444444444"/>
        <n v="134.5402777777778"/>
        <n v="134.48055555555555"/>
        <n v="134.32055555555556"/>
        <n v="125.41222222222223"/>
        <n v="132.65666666666667"/>
        <n v="156.59333333333333"/>
        <n v="147.3311111111111"/>
        <n v="129.0836111111111"/>
        <n v="133.35722222222222"/>
        <n v="127.33722222222222"/>
        <n v="134.21055555555554"/>
        <n v="130.57194444444445"/>
        <n v="133.0225"/>
        <n v="125.18611111111112"/>
        <n v="134.34416666666667"/>
        <n v="130.51555555555555"/>
        <n v="131.53944444444446"/>
        <n v="133.48416666666668"/>
        <n v="132.62333333333333"/>
        <n v="134.39694444444444"/>
        <n v="131.70166666666668"/>
        <n v="134.6486111111111"/>
        <n v="133.72416666666666"/>
        <n v="134.45527777777778"/>
        <n v="131.34583333333333"/>
        <n v="132.8725"/>
        <n v="131.91861111111112"/>
        <n v="132.89555555555555"/>
        <n v="134.60944444444445"/>
        <n v="134.6447222222222"/>
        <n v="133.60777777777778"/>
        <n v="133.49472222222224"/>
        <n v="134.4886111111111"/>
        <n v="133.75972222222222"/>
        <n v="130.23166666666665"/>
        <n v="133.93083333333334"/>
        <n v="134.58916666666667"/>
        <n v="134.49777777777777"/>
        <n v="125.92527777777778"/>
        <n v="133.89222222222222"/>
        <n v="127.89805555555556"/>
        <n v="130.46916666666667"/>
        <n v="133.64111111111112"/>
        <n v="131.63666666666666"/>
        <n v="128.5897222222222"/>
        <n v="133.31194444444444"/>
        <n v="134.3947222222222"/>
        <n v="134.57583333333335"/>
        <n v="133.50166666666667"/>
        <n v="133.6538888888889"/>
        <n v="129.335"/>
        <n v="133.87027777777777"/>
        <n v="128.93916666666667"/>
        <n v="128.54916666666665"/>
        <n v="132.25194444444443"/>
        <n v="164.06666666666666"/>
        <n v="133.59694444444443"/>
        <n v="133.84861111111113"/>
        <n v="128.01666666666668"/>
        <n v="134.56027777777777"/>
        <n v="130.55277777777778"/>
        <n v="133.92222222222222"/>
        <n v="132.7088888888889"/>
        <n v="128.90583333333333"/>
        <n v="130.23833333333334"/>
        <n v="128.47444444444443"/>
        <n v="132.63055555555556"/>
        <n v="132.0"/>
        <n v="129.86305555555558"/>
        <n v="132.1136111111111"/>
        <n v="134.22916666666666"/>
        <n v="134.515"/>
        <n v="131.42472222222221"/>
        <n v="130.5425"/>
        <n v="126.96000000000001"/>
        <n v="132.9161111111111"/>
        <n v="131.04472222222222"/>
        <n v="134.3411111111111"/>
        <n v="134.3777777777778"/>
        <n v="128.9488888888889"/>
        <n v="130.99583333333334"/>
        <n v="122.69194444444445"/>
        <n v="151.47305555555556"/>
        <n v="134.2925"/>
        <n v="134.06027777777777"/>
        <n v="132.39694444444444"/>
        <n v="122.22694444444444"/>
        <n v="134.4488888888889"/>
        <n v="132.63972222222222"/>
        <n v="133.9711111111111"/>
        <n v="134.59416666666667"/>
        <n v="133.71916666666667"/>
        <n v="131.17055555555555"/>
        <n v="132.34916666666666"/>
        <n v="134.46222222222224"/>
        <n v="134.50944444444445"/>
        <n v="125.41194444444444"/>
        <n v="133.44722222222222"/>
        <n v="132.16694444444445"/>
        <n v="133.76333333333335"/>
        <n v="121.41527777777779"/>
        <n v="134.34472222222223"/>
        <n v="129.5325"/>
        <n v="129.64027777777778"/>
        <n v="161.33583333333334"/>
        <n v="132.59861111111113"/>
        <n v="126.27722222222222"/>
        <n v="132.93305555555557"/>
        <n v="127.55777777777777"/>
        <n v="134.5688888888889"/>
        <n v="127.34805555555555"/>
        <n v="134.46305555555557"/>
        <n v="133.53666666666666"/>
        <n v="134.1288888888889"/>
        <n v="134.27666666666667"/>
        <n v="134.44277777777776"/>
        <n v="134.23194444444445"/>
        <n v="132.67972222222224"/>
        <n v="133.13083333333333"/>
        <n v="134.00083333333333"/>
        <n v="129.98777777777778"/>
        <n v="131.2286111111111"/>
        <n v="163.21555555555554"/>
        <n v="129.12305555555557"/>
        <n v="128.10666666666665"/>
        <n v="133.57222222222222"/>
        <n v="132.43333333333334"/>
        <n v="130.05638888888888"/>
        <n v="129.98166666666665"/>
        <n v="157.60333333333335"/>
        <n v="131.17583333333334"/>
        <n v="133.33944444444444"/>
        <n v="133.89666666666668"/>
        <n v="132.58083333333335"/>
        <n v="133.78472222222223"/>
        <n v="127.50055555555556"/>
        <n v="133.09944444444443"/>
        <n v="133.95166666666668"/>
        <n v="134.51722222222222"/>
        <n v="134.17694444444444"/>
        <n v="133.32833333333332"/>
        <n v="129.0913888888889"/>
        <n v="129.4972222222222"/>
        <n v="133.66055555555556"/>
        <n v="133.98555555555555"/>
        <n v="134.21416666666667"/>
        <n v="130.645"/>
        <n v="130.83777777777777"/>
        <n v="133.7811111111111"/>
        <n v="129.72833333333332"/>
        <n v="131.43194444444444"/>
        <n v="133.9463888888889"/>
        <n v="134.3536111111111"/>
        <n v="129.43083333333334"/>
        <n v="123.26416666666667"/>
        <n v="134.2863888888889"/>
        <n v="133.37583333333333"/>
        <n v="133.4802777777778"/>
        <n v="131.88583333333332"/>
        <n v="133.27083333333334"/>
        <n v="134.24555555555557"/>
        <n v="133.48222222222222"/>
        <n v="134.10833333333332"/>
        <n v="129.55083333333334"/>
        <n v="134.17166666666668"/>
        <n v="133.62805555555556"/>
        <n v="127.82444444444444"/>
        <n v="131.97194444444443"/>
        <n v="134.47027777777777"/>
        <n v="131.1602777777778"/>
        <n v="131.485"/>
        <n v="134.31055555555557"/>
        <n v="134.23333333333332"/>
        <n v="126.64888888888889"/>
        <n v="125.66722222222224"/>
        <n v="134.35416666666666"/>
        <n v="126.10111111111111"/>
        <n v="134.65944444444443"/>
        <n v="132.8386111111111"/>
        <n v="132.98388888888888"/>
        <n v="129.87305555555557"/>
        <n v="131.73444444444445"/>
        <n v="130.83833333333334"/>
        <n v="133.29972222222221"/>
        <n v="134.39833333333334"/>
        <n v="132.95638888888888"/>
        <n v="131.14333333333335"/>
        <n v="132.6436111111111"/>
        <n v="133.36527777777778"/>
        <n v="134.06694444444443"/>
        <n v="130.58527777777778"/>
        <n v="152.00611111111112"/>
        <n v="134.64388888888888"/>
        <n v="132.96916666666667"/>
        <n v="133.7588888888889"/>
        <n v="131.4661111111111"/>
        <n v="134.07361111111112"/>
        <n v="133.92472222222221"/>
        <n v="132.92361111111111"/>
        <n v="125.40805555555556"/>
        <n v="133.49222222222224"/>
        <n v="133.8138888888889"/>
        <n v="131.1688888888889"/>
        <n v="132.28944444444446"/>
        <n v="133.69694444444445"/>
        <n v="133.57361111111112"/>
        <n v="131.57305555555556"/>
        <n v="134.25"/>
        <n v="131.0847222222222"/>
        <n v="131.85416666666666"/>
        <n v="132.60416666666666"/>
        <n v="133.33888888888887"/>
        <n v="132.86694444444444"/>
        <n v="134.58527777777778"/>
        <n v="134.25472222222223"/>
        <n v="133.82444444444442"/>
        <n v="133.98527777777778"/>
        <n v="134.03722222222223"/>
        <n v="133.64194444444445"/>
        <n v="130.0336111111111"/>
        <n v="133.09916666666666"/>
        <n v="134.21444444444444"/>
        <n v="132.62722222222223"/>
        <n v="121.40083333333334"/>
        <n v="134.35333333333332"/>
        <n v="130.27"/>
        <n v="134.58416666666668"/>
        <n v="133.48611111111111"/>
        <n v="130.56472222222223"/>
        <n v="134.02333333333334"/>
        <n v="133.7225"/>
        <n v="127.56833333333334"/>
        <n v="128.63111111111112"/>
        <n v="134.10222222222222"/>
        <n v="121.33444444444444"/>
        <n v="133.58833333333334"/>
        <n v="130.0836111111111"/>
        <n v="160.51611111111112"/>
        <n v="133.21333333333334"/>
        <n v="128.16472222222222"/>
        <n v="134.3152777777778"/>
        <n v="133.79166666666666"/>
        <n v="133.42138888888888"/>
        <n v="133.34972222222223"/>
        <n v="134.52277777777778"/>
        <n v="133.1075"/>
        <n v="133.75444444444443"/>
        <n v="129.30138888888888"/>
        <n v="131.48333333333332"/>
        <n v="134.64777777777778"/>
        <n v="133.75333333333333"/>
        <n v="134.1338888888889"/>
        <n v="134.55916666666667"/>
        <n v="132.9788888888889"/>
        <n v="132.54416666666665"/>
        <n v="132.92749999999998"/>
        <n v="132.79972222222221"/>
        <n v="134.38027777777776"/>
        <n v="128.95388888888888"/>
        <n v="130.0186111111111"/>
        <n v="134.20166666666668"/>
        <n v="134.5897222222222"/>
        <n v="132.63555555555556"/>
        <n v="133.90472222222223"/>
        <n v="133.5036111111111"/>
        <n v="134.3138888888889"/>
        <n v="128.16833333333335"/>
        <n v="126.74694444444444"/>
        <n v="131.09527777777777"/>
        <n v="131.08555555555554"/>
        <n v="133.2925"/>
        <n v="132.33833333333334"/>
        <n v="134.39277777777778"/>
        <n v="128.15416666666667"/>
        <n v="120.21277777777777"/>
        <n v="134.46138888888888"/>
        <n v="133.50583333333333"/>
        <n v="133.7788888888889"/>
        <n v="130.71416666666667"/>
        <n v="128.92583333333334"/>
        <n v="122.11166666666666"/>
        <n v="130.59305555555554"/>
        <n v="133.83166666666665"/>
        <n v="130.82222222222222"/>
        <n v="130.99416666666667"/>
        <n v="134.01416666666668"/>
        <n v="161.54166666666666"/>
        <n v="133.08083333333335"/>
        <n v="213.75027777777777"/>
        <n v="132.3"/>
        <n v="134.37916666666666"/>
        <n v="128.30138888888888"/>
        <n v="133.26527777777778"/>
        <n v="132.795"/>
        <n v="133.38027777777776"/>
        <n v="131.79527777777778"/>
        <n v="133.53416666666666"/>
        <n v="129.99472222222224"/>
        <n v="129.02166666666668"/>
        <n v="124.05194444444444"/>
        <n v="133.4786111111111"/>
        <n v="122.17027777777777"/>
        <n v="133.27583333333334"/>
        <n v="131.35611111111112"/>
        <n v="133.56333333333333"/>
        <n v="131.58555555555554"/>
        <n v="134.51638888888888"/>
        <n v="124.57722222222222"/>
        <n v="132.4138888888889"/>
        <n v="129.08166666666665"/>
        <n v="123.46166666666666"/>
        <n v="133.97444444444443"/>
        <n v="134.38916666666668"/>
        <n v="134.48277777777778"/>
        <n v="134.54527777777778"/>
        <n v="134.51888888888888"/>
        <n v="133.6536111111111"/>
        <n v="129.59333333333333"/>
        <n v="126.43583333333332"/>
        <n v="131.4886111111111"/>
        <n v="132.89388888888888"/>
        <n v="129.4311111111111"/>
        <n v="134.25027777777777"/>
        <n v="133.12027777777777"/>
        <n v="129.15194444444444"/>
        <n v="133.0222222222222"/>
        <n v="129.9647222222222"/>
        <n v="133.4311111111111"/>
        <n v="134.22416666666666"/>
        <n v="132.90138888888887"/>
        <n v="133.60333333333332"/>
        <n v="131.69055555555556"/>
        <n v="124.57944444444443"/>
        <n v="131.34277777777777"/>
        <n v="134.605"/>
        <n v="133.62055555555557"/>
        <n v="132.72416666666666"/>
        <n v="134.41222222222223"/>
        <n v="132.92222222222222"/>
        <n v="134.27972222222223"/>
        <n v="129.64972222222224"/>
        <n v="128.57805555555555"/>
        <n v="123.10916666666667"/>
        <n v="131.7475"/>
        <n v="131.36444444444444"/>
        <n v="133.6586111111111"/>
        <n v="128.4647222222222"/>
        <n v="134.65277777777777"/>
        <n v="126.30055555555556"/>
        <n v="133.8475"/>
        <n v="134.6225"/>
        <n v="133.81805555555556"/>
        <n v="165.86694444444444"/>
        <n v="133.38194444444446"/>
        <n v="126.70583333333335"/>
        <n v="133.6363888888889"/>
        <n v="132.455"/>
        <n v="133.02166666666668"/>
        <n v="160.36527777777778"/>
        <n v="133.88083333333333"/>
        <n v="133.32055555555556"/>
        <n v="132.6236111111111"/>
        <n v="133.3686111111111"/>
        <n v="134.02"/>
        <n v="134.05194444444444"/>
        <n v="128.0625"/>
        <n v="134.64"/>
        <n v="134.65527777777777"/>
        <n v="134.5713888888889"/>
        <n v="126.36972222222222"/>
        <n v="126.6536111111111"/>
        <n v="134.4438888888889"/>
        <n v="134.2425"/>
        <n v="132.60222222222222"/>
        <n v="134.3161111111111"/>
        <n v="133.4788888888889"/>
        <n v="134.61333333333334"/>
        <n v="134.61166666666665"/>
        <n v="131.5613888888889"/>
        <n v="128.93722222222223"/>
        <n v="131.56972222222223"/>
        <n v="133.04777777777778"/>
        <n v="134.18083333333334"/>
        <n v="132.49527777777777"/>
        <n v="131.85166666666666"/>
        <n v="129.49194444444444"/>
        <n v="133.7088888888889"/>
        <n v="156.89138888888888"/>
        <n v="126.685"/>
        <n v="130.36666666666667"/>
        <n v="132.63888888888889"/>
        <n v="131.99416666666667"/>
        <n v="134.39444444444445"/>
        <n v="134.1788888888889"/>
        <n v="133.3825"/>
        <n v="130.89222222222222"/>
        <n v="126.58888888888889"/>
        <n v="134.54611111111112"/>
        <n v="133.0738888888889"/>
        <n v="133.76194444444442"/>
        <n v="127.82944444444443"/>
        <n v="134.45916666666668"/>
        <n v="127.175"/>
        <n v="133.23777777777778"/>
        <n v="132.5988888888889"/>
        <n v="122.25416666666666"/>
        <n v="129.81305555555556"/>
        <n v="125.31472222222222"/>
        <n v="160.25666666666666"/>
        <n v="133.51555555555555"/>
        <n v="131.98333333333332"/>
        <n v="133.08138888888888"/>
        <n v="133.88277777777776"/>
        <n v="156.70833333333334"/>
        <n v="122.71916666666667"/>
        <n v="155.46916666666667"/>
        <n v="132.6161111111111"/>
        <n v="132.5738888888889"/>
        <n v="134.07472222222222"/>
        <n v="129.90416666666667"/>
        <n v="134.4711111111111"/>
        <n v="131.5838888888889"/>
        <n v="134.12722222222223"/>
        <n v="132.9572222222222"/>
        <n v="132.1336111111111"/>
        <n v="134.04833333333332"/>
        <n v="132.83027777777778"/>
        <n v="134.52166666666668"/>
        <n v="130.93"/>
        <n v="131.9975"/>
        <n v="145.89305555555558"/>
        <n v="134.16444444444446"/>
        <n v="129.71555555555557"/>
        <n v="134.02777777777777"/>
        <n v="132.1988888888889"/>
        <n v="126.82138888888889"/>
        <n v="130.8552777777778"/>
        <n v="132.33777777777777"/>
        <n v="133.6861111111111"/>
        <n v="133.7725"/>
        <n v="132.43194444444444"/>
        <n v="134.13027777777776"/>
        <n v="134.24527777777777"/>
        <n v="133.78027777777777"/>
        <n v="132.7302777777778"/>
        <n v="130.8663888888889"/>
        <n v="133.7563888888889"/>
        <n v="133.56444444444443"/>
        <n v="134.64194444444445"/>
        <n v="155.89888888888888"/>
        <n v="130.23916666666668"/>
        <n v="133.89555555555555"/>
        <n v="129.4461111111111"/>
        <n v="133.39694444444444"/>
        <n v="129.09"/>
        <n v="131.35166666666666"/>
        <n v="127.31916666666666"/>
        <n v="131.83416666666668"/>
        <n v="134.39111111111112"/>
        <n v="129.1261111111111"/>
        <n v="129.63722222222222"/>
        <n v="128.6313888888889"/>
        <n v="133.9347222222222"/>
        <n v="134.25972222222222"/>
        <n v="162.40694444444443"/>
        <n v="133.2625"/>
        <n v="126.84694444444445"/>
        <n v="129.80444444444444"/>
        <n v="132.40472222222223"/>
        <n v="132.7513888888889"/>
        <n v="134.3125"/>
        <n v="133.77583333333334"/>
        <n v="134.43777777777777"/>
        <n v="134.44416666666666"/>
        <n v="130.34972222222223"/>
        <n v="133.06416666666667"/>
        <n v="133.01527777777778"/>
        <n v="133.10611111111112"/>
        <n v="132.62583333333333"/>
        <n v="120.53166666666667"/>
        <n v="130.155"/>
        <n v="133.95194444444445"/>
        <n v="130.1211111111111"/>
        <n v="182.75472222222223"/>
        <n v="131.86583333333334"/>
        <n v="131.75055555555556"/>
        <n v="131.31444444444443"/>
        <n v="159.72555555555556"/>
        <n v="131.805"/>
        <n v="133.84583333333333"/>
        <n v="133.70805555555555"/>
        <n v="132.0663888888889"/>
        <n v="133.6075"/>
        <n v="130.13805555555555"/>
        <n v="162.39249999999998"/>
        <n v="132.96138888888888"/>
        <n v="133.8161111111111"/>
        <n v="134.19222222222223"/>
        <n v="133.77444444444444"/>
        <n v="130.29416666666665"/>
        <n v="132.3325"/>
        <n v="132.26666666666668"/>
        <n v="126.01194444444444"/>
        <n v="132.60666666666665"/>
        <n v="134.39388888888888"/>
        <n v="128.11499999999998"/>
        <n v="131.2238888888889"/>
        <n v="134.1725"/>
        <n v="131.92638888888888"/>
        <n v="132.7911111111111"/>
        <n v="134.2686111111111"/>
        <n v="131.35"/>
        <n v="132.29888888888888"/>
        <n v="133.9363888888889"/>
        <n v="127.57916666666667"/>
        <n v="132.54777777777778"/>
        <n v="123.46055555555556"/>
        <n v="130.34916666666666"/>
        <n v="134.58194444444445"/>
        <n v="134.5911111111111"/>
        <n v="130.34277777777777"/>
        <n v="128.69916666666666"/>
        <n v="133.875"/>
        <n v="132.59055555555557"/>
        <n v="133.62277777777777"/>
        <n v="132.4177777777778"/>
        <n v="134.29361111111112"/>
        <n v="131.42694444444444"/>
        <n v="128.4972222222222"/>
        <n v="167.65361111111113"/>
        <n v="126.2963888888889"/>
        <n v="123.01805555555555"/>
        <n v="130.2911111111111"/>
        <n v="128.5977777777778"/>
        <n v="134.00555555555556"/>
        <n v="125.67"/>
        <n v="133.98638888888888"/>
        <n v="130.9286111111111"/>
        <n v="132.08944444444444"/>
        <n v="131.94555555555556"/>
        <n v="133.39138888888888"/>
        <n v="129.5"/>
        <n v="134.57361111111112"/>
        <n v="128.81416666666667"/>
        <n v="164.56166666666667"/>
        <n v="133.02333333333334"/>
        <n v="133.12555555555556"/>
        <n v="134.24416666666667"/>
        <n v="130.7286111111111"/>
        <n v="159.76277777777779"/>
        <n v="128.76666666666668"/>
        <n v="127.30472222222222"/>
        <n v="133.67333333333332"/>
        <n v="129.97722222222222"/>
        <n v="126.51"/>
        <n v="134.68194444444444"/>
        <n v="133.07527777777779"/>
        <n v="186.59305555555557"/>
        <n v="129.07194444444445"/>
        <n v="161.6375"/>
        <n v="150.65916666666666"/>
        <n v="134.5661111111111"/>
        <n v="133.8361111111111"/>
        <n v="132.42583333333334"/>
        <n v="133.80583333333334"/>
        <n v="125.26527777777778"/>
        <n v="133.10222222222222"/>
        <n v="122.73722222222223"/>
        <n v="133.92055555555555"/>
        <n v="132.96694444444444"/>
        <n v="121.92916666666666"/>
        <n v="131.12694444444443"/>
        <n v="129.82916666666668"/>
      </sharedItems>
    </cacheField>
    <cacheField name="Razão (Issues Fechadas por Total de Issues)" numFmtId="167">
      <sharedItems containsSemiMixedTypes="0" containsString="0" containsNumber="1">
        <n v="0.9916425981687458"/>
        <n v="0.0"/>
        <n v="0.963013698630137"/>
        <n v="0.892128279883382"/>
        <n v="0.932475884244373"/>
        <n v="0.8456692913385827"/>
        <n v="0.9949748743718593"/>
        <n v="0.9664129883307966"/>
        <n v="0.29004329004329005"/>
        <n v="0.9336533516200926"/>
        <n v="0.9402812288231308"/>
        <n v="0.6673114119922631"/>
        <n v="0.9872302745024933"/>
        <n v="0.9090909090909091"/>
        <n v="0.7934782608695652"/>
        <n v="0.9465127238454288"/>
        <n v="0.6506849315068494"/>
        <n v="0.8495467441699537"/>
        <n v="0.9735099337748344"/>
        <n v="0.937007874015748"/>
        <n v="0.9488991806198789"/>
        <n v="0.9214723926380368"/>
        <n v="0.9256128486897718"/>
        <n v="0.16433566433566432"/>
        <n v="0.9878260869565217"/>
        <n v="0.8464108172598926"/>
        <n v="0.650103519668737"/>
        <n v="0.5550239234449761"/>
        <n v="0.9177209705372616"/>
        <n v="0.9081009449181839"/>
        <n v="0.8534327491042897"/>
        <n v="0.9985788725722407"/>
        <n v="1.0"/>
        <n v="0.8918539325842697"/>
        <n v="0.8191570881226053"/>
        <n v="0.9618869936034116"/>
        <n v="0.9179716629381058"/>
        <n v="0.9606930000241295"/>
        <n v="0.9130289009588949"/>
        <n v="0.9741379310344828"/>
        <n v="0.8603686191257358"/>
        <n v="0.8567593177511055"/>
        <n v="0.9685947480482612"/>
        <n v="0.8409998264190245"/>
        <n v="0.9543956496663096"/>
        <n v="0.9661687887691806"/>
        <n v="0.9362416107382551"/>
        <n v="0.9349163385826772"/>
        <n v="0.939675596865318"/>
        <n v="0.671793383633198"/>
        <n v="0.7931034482758621"/>
        <n v="0.8182938856015779"/>
        <n v="0.6824034334763949"/>
        <n v="0.7017543859649122"/>
        <n v="0.9745454545454545"/>
        <n v="0.8403047290498779"/>
        <n v="0.7948855700010745"/>
        <n v="0.6883720930232559"/>
        <n v="0.627906976744186"/>
        <n v="0.75"/>
        <n v="0.8155601613514296"/>
        <n v="0.7139843116040032"/>
        <n v="0.6539080090061112"/>
        <n v="0.9591857403281345"/>
        <n v="0.897029702970297"/>
        <n v="0.8780487804878049"/>
        <n v="0.9347918738457167"/>
        <n v="0.7293540474243663"/>
        <n v="0.9924812030075187"/>
        <n v="0.8126075031379294"/>
        <n v="0.9075144508670521"/>
        <n v="0.7631927577831751"/>
        <n v="0.44970414201183434"/>
        <n v="0.9802968655816757"/>
        <n v="0.7656415694591728"/>
        <n v="0.8557904007045355"/>
        <n v="0.9793938072394244"/>
        <n v="0.7068645640074211"/>
        <n v="0.9705882352941176"/>
        <n v="0.40476190476190477"/>
        <n v="0.9046446742163138"/>
        <n v="0.8875368007850835"/>
        <n v="0.9448275862068966"/>
        <n v="0.8328675237562885"/>
        <n v="0.5694053208137715"/>
        <n v="0.9754937292777858"/>
        <n v="0.9995805369127517"/>
        <n v="0.9955591441259588"/>
        <n v="0.9567477876106195"/>
        <n v="0.9569280780170663"/>
        <n v="0.9791136016301579"/>
        <n v="0.9898544331715924"/>
        <n v="0.9463154189157474"/>
        <n v="0.5514018691588785"/>
        <n v="0.6741234674123467"/>
        <n v="0.9712970484700785"/>
        <n v="0.3877551020408163"/>
        <n v="0.976405699402482"/>
        <n v="0.8580493537015276"/>
        <n v="0.41025641025641024"/>
        <n v="0.2878787878787879"/>
        <n v="0.9666970802919708"/>
        <n v="0.9697063369397217"/>
        <n v="0.6962115796997855"/>
        <n v="0.5193929173693086"/>
        <n v="0.9409989943010392"/>
        <n v="0.9786358462481394"/>
        <n v="0.8520975609756097"/>
        <n v="0.9866666666666667"/>
        <n v="0.96875"/>
        <n v="0.9650499286733238"/>
        <n v="0.8321403006442376"/>
        <n v="0.9552800178497434"/>
        <n v="0.9772156849962516"/>
        <n v="0.9339786547530404"/>
        <n v="0.13144567219152856"/>
        <n v="0.9939634864546525"/>
        <n v="0.8449197860962567"/>
        <n v="0.9952904238618524"/>
        <n v="0.8808941669577366"/>
        <n v="0.815488905978524"/>
        <n v="0.745398773006135"/>
        <n v="0.8682223747426219"/>
        <n v="0.7619047619047619"/>
        <n v="0.9771388765752644"/>
        <n v="0.8396452790818988"/>
        <n v="0.45098039215686275"/>
        <n v="0.908000156329386"/>
        <n v="0.7954545454545454"/>
        <n v="0.847397348852247"/>
        <n v="0.9907343062311791"/>
        <n v="0.6130831643002028"/>
        <n v="0.9916666666666667"/>
        <n v="0.9666666666666667"/>
        <n v="0.8811065332548558"/>
        <n v="0.9455748848441483"/>
        <n v="0.44692737430167595"/>
        <n v="0.6377049180327868"/>
        <n v="0.9244897959183673"/>
        <n v="0.9497237569060774"/>
        <n v="0.9872894333843798"/>
        <n v="0.9732720715379675"/>
        <n v="0.8648487735175042"/>
        <n v="0.6363636363636364"/>
        <n v="0.7532467532467533"/>
        <n v="0.9925705794947994"/>
        <n v="0.9553426676492263"/>
        <n v="0.8873020595722173"/>
        <n v="0.6565656565656566"/>
        <n v="0.9573828027074455"/>
        <n v="0.8985313751668892"/>
        <n v="0.4339622641509434"/>
        <n v="0.8878718535469108"/>
        <n v="0.6592292089249493"/>
        <n v="0.8527812630698453"/>
        <n v="0.843614248479583"/>
        <n v="0.9961240310077519"/>
        <n v="0.9336569579288025"/>
        <n v="0.9384551838083437"/>
        <n v="0.8994219653179191"/>
        <n v="0.4609756097560976"/>
        <n v="0.806327616794796"/>
        <n v="0.981004366812227"/>
        <n v="0.8828947368421053"/>
        <n v="0.5205479452054794"/>
        <n v="0.8076923076923077"/>
        <n v="0.8951406649616368"/>
        <n v="0.8391435144222261"/>
        <n v="0.9381443298969072"/>
        <n v="0.8432809773123909"/>
        <n v="0.9207635983263598"/>
        <n v="0.9207920792079208"/>
        <n v="0.74079754601227"/>
        <n v="0.9833428408442669"/>
        <n v="0.3448275862068966"/>
        <n v="0.9629629629629629"/>
        <n v="0.78"/>
        <n v="0.40963855421686746"/>
        <n v="0.9704928664072633"/>
        <n v="0.53125"/>
        <n v="0.2956521739130435"/>
        <n v="0.9819121447028424"/>
        <n v="0.9135802469135802"/>
        <n v="0.9047763457164518"/>
        <n v="0.9818249258160238"/>
        <n v="0.6658986175115207"/>
        <n v="0.9307657038055938"/>
        <n v="0.8781725888324873"/>
        <n v="0.9217687074829932"/>
        <n v="0.8583664090244412"/>
        <n v="0.9332645845609899"/>
        <n v="0.9723541383989145"/>
        <n v="0.9956222639149468"/>
        <n v="0.7149095446038678"/>
        <n v="0.6262975778546713"/>
        <n v="0.8397318708104814"/>
        <n v="0.8453339649455235"/>
        <n v="0.7788750536711034"/>
        <n v="0.9201339688264846"/>
        <n v="0.9464560862865947"/>
        <n v="0.9977728285077951"/>
        <n v="0.9886317498984978"/>
        <n v="0.8430115405751969"/>
        <n v="0.7561846923283022"/>
        <n v="0.615848406546081"/>
        <n v="0.8391167192429022"/>
        <n v="0.8658466819221968"/>
        <n v="0.957484604452866"/>
        <n v="0.45714285714285713"/>
        <n v="0.3230174081237911"/>
        <n v="0.8814026792750197"/>
        <n v="0.9209932279909706"/>
        <n v="0.7878787878787878"/>
        <n v="0.8733981129418392"/>
        <n v="0.7746201463140123"/>
        <n v="0.9612179972731404"/>
        <n v="0.7688395746648173"/>
        <n v="0.8380634390651085"/>
        <n v="0.7912087912087912"/>
        <n v="0.8803533704628385"/>
        <n v="0.7791107974594214"/>
        <n v="0.9882399059192474"/>
        <n v="0.9882620219613782"/>
        <n v="0.8495386799148332"/>
        <n v="0.9198367043978475"/>
        <n v="0.5919055649241147"/>
        <n v="0.8660266201178267"/>
        <n v="0.7135990952784846"/>
        <n v="0.981825607514805"/>
        <n v="0.9588189588189588"/>
        <n v="0.9215017064846417"/>
        <n v="0.49382716049382713"/>
        <n v="0.7119908204245554"/>
        <n v="0.888646288209607"/>
        <n v="0.8680109990834097"/>
        <n v="0.803921568627451"/>
        <n v="0.7606837606837606"/>
        <n v="0.7508417508417509"/>
        <n v="0.7205284552845529"/>
        <n v="0.763855421686747"/>
        <n v="0.9260485651214128"/>
        <n v="0.9881656804733728"/>
        <n v="0.9892665474060823"/>
        <n v="0.9885443089763521"/>
        <n v="0.9000571102227298"/>
        <n v="0.40993788819875776"/>
        <n v="0.592462207496376"/>
        <n v="0.9240065546907006"/>
        <n v="0.9911504424778761"/>
        <n v="0.6524673133698862"/>
        <n v="0.9355742296918768"/>
        <n v="0.9807894736842105"/>
        <n v="0.80811078140455"/>
        <n v="0.9075979065150694"/>
        <n v="0.8527575215056111"/>
        <n v="0.8819969742813918"/>
        <n v="0.7951807228915663"/>
        <n v="0.9487512163477133"/>
        <n v="0.8144329896907216"/>
        <n v="0.8625"/>
        <n v="0.6940133037694013"/>
        <n v="0.17857142857142858"/>
        <n v="0.8461538461538461"/>
        <n v="0.9977161500815661"/>
        <n v="0.9161442006269592"/>
        <n v="0.9289340101522843"/>
        <n v="0.6268023748939779"/>
        <n v="0.8406084656084656"/>
        <n v="0.7393048128342246"/>
        <n v="0.3"/>
        <n v="0.4"/>
        <n v="0.9599898063200816"/>
        <n v="0.6448004836759371"/>
        <n v="0.9196976104884753"/>
        <n v="0.9327382188083869"/>
        <n v="0.9805825242718447"/>
        <n v="0.9659090909090909"/>
        <n v="0.7295344275833592"/>
        <n v="0.9950248756218906"/>
        <n v="0.6166612430849333"/>
        <n v="0.8366988586479368"/>
        <n v="0.5538461538461539"/>
        <n v="0.9751354797577303"/>
        <n v="0.9734513274336283"/>
        <n v="0.991995583770356"/>
        <n v="0.46576663452266154"/>
        <n v="0.9808612440191388"/>
        <n v="0.08163265306122448"/>
        <n v="0.9689655172413794"/>
        <n v="0.871461716937355"/>
        <n v="0.9072911636890391"/>
        <n v="0.8043583201158541"/>
        <n v="0.6954314720812182"/>
        <n v="0.8136373143693788"/>
        <n v="0.9779717373233583"/>
        <n v="0.9303571428571429"/>
        <n v="0.9116143170197224"/>
        <n v="0.6873315363881402"/>
        <n v="0.8370846730975349"/>
        <n v="0.9907385968974299"/>
        <n v="0.958987341772152"/>
        <n v="0.9140826873385013"/>
        <n v="0.5130057803468208"/>
        <n v="0.9860888175494917"/>
        <n v="0.9966499162479062"/>
        <n v="0.38738738738738737"/>
        <n v="0.9510474090407939"/>
        <n v="0.9222497932175352"/>
        <n v="0.8595317725752508"/>
        <n v="0.7892380267050452"/>
        <n v="0.8328729281767956"/>
        <n v="0.6919266963843487"/>
        <n v="0.31176999101527403"/>
        <n v="0.9761904761904762"/>
        <n v="0.8151668779045205"/>
        <n v="0.5151515151515151"/>
        <n v="0.9187292205393425"/>
        <n v="0.7844311377245509"/>
        <n v="0.9529983792544571"/>
        <n v="0.9411889147450815"/>
        <n v="0.9898580121703854"/>
        <n v="0.45454545454545453"/>
        <n v="0.6982248520710059"/>
        <n v="0.9079982026510897"/>
        <n v="0.3783783783783784"/>
        <n v="0.4408817635270541"/>
        <n v="0.9886699507389163"/>
        <n v="0.9903593339176161"/>
        <n v="0.9958333333333333"/>
        <n v="0.8343612334801762"/>
        <n v="0.8004846526655897"/>
        <n v="0.40062825620594544"/>
        <n v="0.8421052631578947"/>
        <n v="0.8569482288828338"/>
        <n v="0.9719028588994774"/>
        <n v="0.9990887552396573"/>
        <n v="0.9484887186036611"/>
        <n v="0.28991596638655465"/>
        <n v="0.8841567291311755"/>
        <n v="0.9851829452676142"/>
        <n v="0.9671052631578947"/>
        <n v="0.711354961832061"/>
        <n v="0.5750962772785623"/>
        <n v="0.85"/>
        <n v="0.8860265417642467"/>
        <n v="0.319672131147541"/>
        <n v="0.7593674802337573"/>
        <n v="0.4809131018607328"/>
        <n v="0.8090799759470836"/>
        <n v="0.9736842105263158"/>
        <n v="0.6899109792284867"/>
        <n v="0.9939740885808979"/>
        <n v="0.987390350877193"/>
        <n v="0.7987567987567987"/>
        <n v="0.9577647823261858"/>
        <n v="0.7543859649122807"/>
        <n v="0.8769132653061225"/>
        <n v="0.6833333333333333"/>
        <n v="0.8973692757388763"/>
        <n v="0.9996976111279104"/>
        <n v="0.9554579673776662"/>
        <n v="0.5707547169811321"/>
        <n v="0.8222222222222222"/>
        <n v="0.9948586118251928"/>
        <n v="0.6775782155272306"/>
        <n v="0.912548819833588"/>
        <n v="0.6535186015239802"/>
        <n v="0.7727891156462585"/>
        <n v="0.8731573534453205"/>
        <n v="0.7194029850746269"/>
        <n v="0.8190656457024864"/>
        <n v="0.8908554572271387"/>
        <n v="0.9773622047244095"/>
        <n v="0.8401265587195236"/>
        <n v="0.9683914267157393"/>
        <n v="0.9120304148159302"/>
        <n v="0.8390804597701149"/>
        <n v="0.9972999509081983"/>
        <n v="0.8225806451612904"/>
        <n v="0.6925157799819658"/>
        <n v="0.8928855325914149"/>
        <n v="0.7631767916128106"/>
        <n v="0.26270136307311026"/>
        <n v="0.631578947368421"/>
        <n v="0.5475274725274726"/>
        <n v="0.9976803036693378"/>
        <n v="0.8371287128712871"/>
        <n v="0.9530516431924883"/>
        <n v="0.8986272439281943"/>
        <n v="0.8283582089552238"/>
        <n v="0.9918927346429685"/>
        <n v="0.7894736842105263"/>
        <n v="0.9691489361702128"/>
        <n v="0.993678031158275"/>
        <n v="0.975"/>
        <n v="0.91701244813278"/>
        <n v="0.9772879091516367"/>
        <n v="0.9908703590992087"/>
        <n v="0.9785454545454545"/>
        <n v="0.8896103896103896"/>
        <n v="0.8216257668711656"/>
        <n v="0.8301886792452831"/>
        <n v="0.6397849462365591"/>
        <n v="0.769825918762089"/>
        <n v="0.9602543720190779"/>
        <n v="0.8690176322418136"/>
        <n v="0.9174311926605505"/>
        <n v="0.9063513255769597"/>
        <n v="0.8843490831621396"/>
        <n v="0.5460122699386503"/>
        <n v="0.6072386058981233"/>
        <n v="0.9238095238095239"/>
        <n v="0.8265440210249672"/>
        <n v="0.9812108559498957"/>
        <n v="0.31666666666666665"/>
        <n v="0.5833333333333334"/>
        <n v="0.6980676328502415"/>
        <n v="0.6550695825049702"/>
        <n v="0.6711319490957803"/>
        <n v="0.9491643454038997"/>
        <n v="0.5652173913043478"/>
        <n v="0.9306451612903226"/>
        <n v="0.9998777655543332"/>
        <n v="0.9954627949183303"/>
        <n v="0.676052332195677"/>
        <n v="0.9332236842105263"/>
        <n v="0.9421487603305785"/>
        <n v="0.9306930693069307"/>
        <n v="0.9800235017626322"/>
        <n v="0.9364944961896697"/>
        <n v="0.9735125630990868"/>
        <n v="0.852882703777336"/>
        <n v="0.8860312657589511"/>
        <n v="0.6860288534548216"/>
        <n v="0.45608721986674744"/>
        <n v="0.7567567567567568"/>
        <n v="0.9551977598879944"/>
        <n v="0.9836065573770492"/>
        <n v="0.8831277092364122"/>
        <n v="0.8990182328190743"/>
        <n v="0.9426831172887709"/>
        <n v="0.6896551724137931"/>
        <n v="0.985746226942426"/>
        <n v="0.8685714285714285"/>
        <n v="0.861904761904762"/>
        <n v="0.6629213483146067"/>
        <n v="0.9291803278688524"/>
        <n v="0.9977678571428571"/>
        <n v="0.9207012536948324"/>
        <n v="0.9864253393665159"/>
        <n v="0.6804511278195489"/>
        <n v="0.8666666666666667"/>
        <n v="0.9793447293447294"/>
        <n v="0.602760736196319"/>
        <n v="0.6409638554216868"/>
        <n v="0.9373088685015291"/>
        <n v="0.4930555555555556"/>
        <n v="0.9863945578231292"/>
        <n v="0.8548387096774194"/>
        <n v="0.9886495925494762"/>
        <n v="0.8791191628923942"/>
        <n v="0.7980769230769231"/>
        <n v="0.2558746736292428"/>
        <n v="0.45027624309392267"/>
        <n v="0.36363636363636365"/>
        <n v="0.14285714285714285"/>
        <n v="0.5373406193078324"/>
        <n v="0.49206349206349204"/>
        <n v="0.923949299533022"/>
        <n v="0.8376470588235294"/>
        <n v="0.9957264957264957"/>
        <n v="0.37019758507135014"/>
        <n v="0.9259259259259259"/>
        <n v="0.3473389355742297"/>
        <n v="0.8078353582940739"/>
        <n v="0.24193548387096775"/>
        <n v="0.9575725026852846"/>
        <n v="0.19726797910807553"/>
        <n v="0.9174468085106383"/>
        <n v="0.4068241469816273"/>
        <n v="0.7888276947285602"/>
        <n v="0.9934282584884995"/>
        <n v="0.9849558802256618"/>
        <n v="0.9772985244040863"/>
        <n v="0.9721723518850988"/>
        <n v="0.9318948078219824"/>
        <n v="0.7843137254901961"/>
        <n v="0.6984304932735426"/>
        <n v="0.8895421708712199"/>
        <n v="0.9584026622296173"/>
        <n v="0.7763558805606338"/>
        <n v="0.9614457831325302"/>
        <n v="0.9876857749469214"/>
        <n v="0.9871794871794872"/>
        <n v="0.8241932290635517"/>
        <n v="0.9406276505513147"/>
        <n v="0.6703056768558951"/>
        <n v="0.9080936128717698"/>
        <n v="0.8885869565217391"/>
        <n v="0.7980436111677196"/>
        <n v="0.6603053435114504"/>
        <n v="0.5"/>
        <n v="0.8234477974332293"/>
        <n v="0.9385074626865672"/>
        <n v="0.8200833529920579"/>
        <n v="0.6842028563101137"/>
        <n v="0.9799107142857143"/>
        <n v="0.9394760614272809"/>
        <n v="0.940550133096717"/>
        <n v="0.7605633802816901"/>
        <n v="0.4765258215962441"/>
        <n v="0.3826947912182523"/>
        <n v="0.9474798814061838"/>
        <n v="0.740681576144835"/>
        <n v="0.9485915492957746"/>
        <n v="0.6666666666666666"/>
        <n v="0.904814609850581"/>
        <n v="0.7840290381125227"/>
        <n v="0.3728813559322034"/>
        <n v="0.3780487804878049"/>
        <n v="0.3036773428232503"/>
        <n v="0.9714664897146649"/>
        <n v="0.968895800933126"/>
        <n v="0.712280701754386"/>
        <n v="0.9041464038904531"/>
        <n v="0.3356164383561644"/>
        <n v="0.40425531914893614"/>
        <n v="0.5929203539823009"/>
        <n v="0.64"/>
        <n v="0.9894581488509382"/>
        <n v="0.9894167167769092"/>
        <n v="0.9961464354527938"/>
        <n v="0.9835526315789473"/>
        <n v="0.806872852233677"/>
        <n v="0.8990683229813664"/>
        <n v="0.9308052740547019"/>
        <n v="0.9971190781049936"/>
        <n v="0.8384401114206128"/>
        <n v="0.7362358453729012"/>
        <n v="0.35384615384615387"/>
        <n v="0.6305114638447972"/>
        <n v="0.675"/>
        <n v="0.8169014084507042"/>
        <n v="0.8514150943396226"/>
        <n v="0.9861565083637762"/>
        <n v="0.499383477188656"/>
        <n v="0.9570552147239264"/>
        <n v="0.8787274756817095"/>
        <n v="0.9739084132055378"/>
        <n v="0.8015801759741426"/>
        <n v="0.9925788497217068"/>
        <n v="0.7784860557768924"/>
        <n v="0.4230769230769231"/>
        <n v="0.8995398773006135"/>
        <n v="0.9436875567665758"/>
        <n v="0.586073500967118"/>
        <n v="0.7709923664122137"/>
        <n v="0.7083333333333334"/>
        <n v="0.5325077399380805"/>
        <n v="0.3875"/>
        <n v="0.8289473684210527"/>
        <n v="0.16129032258064516"/>
        <n v="0.9222689075630253"/>
        <n v="0.9906687402799378"/>
        <n v="0.9293344289235825"/>
        <n v="0.8841269841269841"/>
        <n v="0.9365942028985508"/>
        <n v="0.5478260869565217"/>
        <n v="0.8063179699637494"/>
        <n v="0.5316455696202531"/>
        <n v="0.8672219500244978"/>
        <n v="0.6186046511627907"/>
        <n v="0.95859375"/>
        <n v="0.6129032258064516"/>
        <n v="0.65625"/>
        <n v="0.9549393414211439"/>
        <n v="0.9801734820322181"/>
        <n v="0.7976782752902156"/>
        <n v="0.823908918406072"/>
        <n v="0.9944994499449945"/>
        <n v="0.8297872340425532"/>
        <n v="0.8871515975526852"/>
        <n v="0.8586118251928021"/>
        <n v="0.9137931034482759"/>
        <n v="0.9175355450236967"/>
        <n v="0.08480176211453745"/>
        <n v="0.7945736434108527"/>
        <n v="0.9074123628579074"/>
        <n v="0.7732394366197183"/>
        <n v="0.7347531461761858"/>
        <n v="0.23133680555555555"/>
        <n v="0.6349453978159126"/>
        <n v="0.9403547671840354"/>
        <n v="0.9675476748076279"/>
        <n v="0.32432432432432434"/>
        <n v="0.8508254716981132"/>
        <n v="0.9477611940298507"/>
        <n v="0.6540880503144654"/>
        <n v="0.8695652173913043"/>
        <n v="0.8769149894863323"/>
        <n v="0.6186770428015564"/>
        <n v="0.6669931439764937"/>
        <n v="0.6694473409801877"/>
        <n v="0.9119547657512116"/>
        <n v="0.8149122807017544"/>
        <n v="0.8975535168195719"/>
        <n v="0.7298221614227086"/>
        <n v="0.9181084198385236"/>
        <n v="0.6563981042654028"/>
        <n v="0.9828109201213346"/>
        <n v="0.976474214094925"/>
        <n v="0.831712789827973"/>
        <n v="0.8151494093120223"/>
        <n v="0.7721882860222781"/>
        <n v="0.9414322992171644"/>
        <n v="0.9364021804966687"/>
        <n v="0.9150326797385621"/>
        <n v="0.9644509374239104"/>
        <n v="0.9411764705882353"/>
        <n v="0.9814814814814815"/>
        <n v="0.8581495497846796"/>
        <n v="0.657"/>
        <n v="0.9895652173913043"/>
        <n v="0.841642827952595"/>
        <n v="0.611522198731501"/>
        <n v="0.9964788732394366"/>
        <n v="0.9949066213921901"/>
        <n v="0.827027027027027"/>
        <n v="0.959498728659644"/>
        <n v="0.9563114134542706"/>
        <n v="0.9561414165957964"/>
        <n v="0.6223175965665236"/>
        <n v="0.71900826446281"/>
        <n v="0.9918032786885246"/>
        <n v="0.660957571039315"/>
        <n v="0.989010989010989"/>
        <n v="0.2653061224489796"/>
        <n v="0.8322056833558863"/>
        <n v="0.9278876834716018"/>
        <n v="0.9242208511311502"/>
        <n v="0.9731404958677686"/>
        <n v="0.9455895725977569"/>
        <n v="0.764018691588785"/>
        <n v="0.7961309523809523"/>
        <n v="0.941970310391363"/>
        <n v="0.2857142857142857"/>
        <n v="0.6668597914252608"/>
        <n v="0.7287621359223301"/>
        <n v="0.31585036637099884"/>
        <n v="0.7806267806267806"/>
        <n v="0.8634608634608635"/>
        <n v="0.3896551724137931"/>
        <n v="0.8351648351648352"/>
        <n v="0.8956485002112379"/>
        <n v="0.9869614512471655"/>
        <n v="0.6772151898734177"/>
        <n v="0.9489389920424404"/>
        <n v="0.7546468401486989"/>
        <n v="0.9256385386356288"/>
        <n v="0.9723270440251572"/>
        <n v="0.8821752265861027"/>
        <n v="0.68"/>
        <n v="0.5520181921546333"/>
        <n v="0.9740820734341252"/>
        <n v="0.004296875"/>
        <n v="0.176056338028169"/>
        <n v="0.8368396446937821"/>
        <n v="0.7989556135770235"/>
        <n v="0.9024390243902439"/>
        <n v="0.9499564838990426"/>
        <n v="0.9897567221510883"/>
        <n v="0.9932432432432432"/>
        <n v="0.6555234766752773"/>
        <n v="0.9611499611499611"/>
        <n v="0.5789473684210527"/>
        <n v="0.7805758642476758"/>
        <n v="0.7848101265822784"/>
        <n v="0.7812219227313567"/>
        <n v="0.91454802259887"/>
        <n v="0.9499036608863198"/>
        <n v="0.45439330543933054"/>
        <n v="0.9412237400987258"/>
        <n v="0.8605010825858336"/>
        <n v="0.8328488372093024"/>
        <n v="0.7084801099750838"/>
        <n v="0.850828729281768"/>
        <n v="0.9721254355400697"/>
        <n v="0.6217948717948718"/>
        <n v="0.8406193078324226"/>
        <n v="0.9407806191117093"/>
        <n v="0.9974468085106383"/>
        <n v="0.7880686461454645"/>
        <n v="0.4281524926686217"/>
        <n v="0.9241379310344827"/>
        <n v="0.6619047619047619"/>
        <n v="0.7732558139534884"/>
        <n v="0.9740708729472775"/>
        <n v="0.6909090909090909"/>
        <n v="0.9785318559556787"/>
        <n v="0.33649289099526064"/>
        <n v="0.9354542111070246"/>
        <n v="0.7859554355165429"/>
        <n v="0.796078431372549"/>
        <n v="0.8133493574928353"/>
        <n v="0.8532894736842105"/>
        <n v="0.84"/>
        <n v="0.8125"/>
        <n v="0.18181818181818182"/>
        <n v="0.7219251336898396"/>
        <n v="0.9937007874015747"/>
        <n v="0.5559105431309904"/>
        <n v="0.989342033713975"/>
        <n v="0.9714285714285714"/>
        <n v="0.6294416243654822"/>
        <n v="0.8592057761732852"/>
        <n v="0.8148148148148148"/>
        <n v="0.7767180239667401"/>
        <n v="0.9579705794055839"/>
        <n v="0.985"/>
        <n v="0.9089446589446589"/>
        <n v="0.9554140127388535"/>
        <n v="0.9263803680981595"/>
        <n v="0.9608843537414966"/>
        <n v="0.9542743538767395"/>
        <n v="0.5609756097560976"/>
        <n v="0.8942992874109263"/>
        <n v="0.7159590043923866"/>
        <n v="0.9950284090909091"/>
        <n v="0.8351851851851851"/>
        <n v="0.8498789346246973"/>
        <n v="0.8350179328333877"/>
        <n v="0.9058075700664547"/>
        <n v="0.6770833333333334"/>
        <n v="0.6"/>
        <n v="0.993421052631579"/>
        <n v="0.7506688068485822"/>
        <n v="0.8838821490467937"/>
        <n v="0.992263483642794"/>
        <n v="0.9796279893711249"/>
        <n v="0.9966464053657514"/>
        <n v="0.98989898989899"/>
        <n v="0.8425886066867556"/>
        <n v="0.15492957746478872"/>
        <n v="0.7412079102084447"/>
        <n v="0.8833693304535637"/>
        <n v="0.7856060606060606"/>
        <n v="0.9825870646766169"/>
        <n v="0.9942918301819479"/>
        <n v="0.7603550295857988"/>
        <n v="0.564066852367688"/>
        <n v="0.6240601503759399"/>
        <n v="0.8857142857142857"/>
        <n v="0.9015817223198594"/>
        <n v="0.9364820846905537"/>
        <n v="0.5189309576837416"/>
        <n v="0.7692015209125476"/>
        <n v="0.7492590397154713"/>
        <n v="0.8449117536612842"/>
        <n v="0.9488781596137461"/>
        <n v="0.9744058500914077"/>
        <n v="0.5329744279946165"/>
        <n v="0.9712581344902386"/>
        <n v="0.7900146842878121"/>
        <n v="0.3333333333333333"/>
        <n v="0.6905829596412556"/>
        <n v="0.7424242424242424"/>
        <n v="0.8440812156812667"/>
        <n v="0.8428571428571429"/>
        <n v="0.8322147651006712"/>
        <n v="0.5819725669497061"/>
        <n v="0.9503722084367245"/>
        <n v="0.9314159292035398"/>
        <n v="0.9512953367875647"/>
        <n v="0.9420035149384886"/>
        <n v="0.7261904761904762"/>
        <n v="0.7246225923997918"/>
        <n v="0.9952696310312205"/>
        <n v="0.9492263056092843"/>
        <n v="0.9837565774422329"/>
        <n v="0.8478964401294499"/>
        <n v="0.8127230736930506"/>
        <n v="0.7864583333333334"/>
        <n v="0.9747058823529412"/>
        <n v="0.821301247771836"/>
        <n v="0.6579387186629526"/>
        <n v="0.5913200723327305"/>
        <n v="0.755036496350365"/>
        <n v="0.6610169491525424"/>
        <n v="0.8936799830902558"/>
        <n v="0.3888888888888889"/>
        <n v="0.9444093493367025"/>
        <n v="0.853811149032992"/>
        <n v="0.9238031018206339"/>
        <n v="0.5238095238095238"/>
        <n v="0.6944444444444444"/>
        <n v="0.3374485596707819"/>
        <n v="0.9940021810250818"/>
        <n v="0.9743589743589743"/>
        <n v="0.973587570621469"/>
        <n v="0.9980506822612085"/>
        <n v="0.6137566137566137"/>
        <n v="0.9160045402951191"/>
        <n v="0.8539866183440201"/>
        <n v="0.8960125097732604"/>
        <n v="0.82421875"/>
        <n v="0.6070615034168565"/>
        <n v="0.9306161073371861"/>
        <n v="0.9747596153846154"/>
        <n v="0.9772727272727273"/>
        <n v="0.9340870307167235"/>
        <n v="0.6818181818181818"/>
        <n v="0.7659235668789809"/>
        <n v="0.9379474940334129"/>
        <n v="0.5031328320802005"/>
        <n v="0.9941690962099126"/>
        <n v="0.869942196531792"/>
        <n v="0.9245942571785268"/>
        <n v="0.47085201793721976"/>
        <n v="0.7356979405034325"/>
        <n v="0.8243243243243243"/>
        <n v="0.6083333333333333"/>
        <n v="0.9910913140311804"/>
        <n v="0.6076409945421467"/>
        <n v="0.9328390754470126"/>
        <n v="0.9184100418410042"/>
        <n v="0.7518939393939394"/>
        <n v="0.9870967741935484"/>
        <n v="0.9011555922410235"/>
        <n v="0.9504132231404959"/>
        <n v="0.33264033264033266"/>
        <n v="0.9283036551077788"/>
        <n v="0.7087765957446809"/>
        <n v="0.9962202136400986"/>
        <n v="0.7549019607843137"/>
        <n v="0.7038145100972326"/>
        <n v="0.8682745825602969"/>
        <n v="0.7121810995328782"/>
        <n v="0.596"/>
        <n v="0.4944237918215613"/>
        <n v="0.8235294117647058"/>
        <n v="0.857487922705314"/>
        <n v="0.7633813944301797"/>
        <n v="0.3076923076923077"/>
        <n v="0.967741935483871"/>
        <n v="0.7515923566878981"/>
        <n v="0.7675929267412487"/>
        <n v="0.8328894806924101"/>
        <n v="0.7851416354890433"/>
        <n v="0.8"/>
        <n v="0.9002347417840375"/>
        <n v="0.8723241590214067"/>
        <n v="0.993704092339979"/>
        <n v="0.2727272727272727"/>
        <n v="0.7006515906477577"/>
        <n v="0.8518145161290323"/>
        <n v="0.9293628808864266"/>
        <n v="0.943764172335601"/>
        <n v="0.979596463386987"/>
        <n v="0.9886363636363636"/>
        <n v="0.7614035087719299"/>
        <n v="0.9416809605488851"/>
        <n v="0.9855254877281309"/>
        <n v="0.8731563421828908"/>
        <n v="0.2"/>
        <n v="0.7115869017632241"/>
        <n v="0.8185415488976823"/>
        <n v="0.8231046931407943"/>
        <n v="0.7425431711145997"/>
        <n v="0.7947368421052632"/>
        <n v="0.9038919777601271"/>
        <n v="0.9136460554371002"/>
        <n v="0.8315688161693936"/>
        <n v="0.7930513595166163"/>
        <n v="0.869751499571551"/>
        <n v="0.9594594594594594"/>
        <n v="0.9773462783171522"/>
        <n v="0.7976878612716763"/>
        <n v="0.744916820702403"/>
        <n v="0.5576470588235294"/>
        <n v="0.9913494809688581"/>
        <n v="0.28"/>
        <n v="0.46055979643765904"/>
        <n v="0.8592475664298869"/>
        <n v="0.8553113553113553"/>
        <n v="0.8318876497315159"/>
        <n v="0.9621621621621622"/>
        <n v="0.5454545454545454"/>
        <n v="0.63"/>
        <n v="0.9170506912442397"/>
        <n v="0.9583333333333334"/>
        <n v="0.9511642949547219"/>
        <n v="0.9963924963924964"/>
        <n v="0.9671592775041051"/>
        <n v="0.9503184713375796"/>
        <n v="0.9299552906110283"/>
        <n v="0.9858342077649528"/>
        <n v="0.8902606310013718"/>
        <n v="0.8318206086492258"/>
        <n v="0.6868556701030928"/>
        <n v="0.6819512195121952"/>
        <n v="0.9563506931434994"/>
        <n v="0.9145299145299145"/>
        <n v="0.963302752293578"/>
        <n v="0.46153846153846156"/>
        <n v="0.8910833575370316"/>
        <n v="0.9835164835164835"/>
        <n v="0.6348547717842323"/>
        <n v="0.9954317039744175"/>
        <n v="0.7440633245382586"/>
        <n v="0.9212250245660006"/>
        <n v="0.5867061533399145"/>
        <n v="0.726457399103139"/>
        <n v="0.9769820971867008"/>
        <n v="0.881595881595881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Questionamento 01" cacheId="0" dataCaption="" compact="0" compactData="0">
  <location ref="A3:B19" firstHeaderRow="0" firstDataRow="1" firstDataCol="0" rowPageCount="1" colPageCount="1"/>
  <pivotFields>
    <pivotField name="nameWithOwner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created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updated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releases.total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primaryLanguage.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ullRequests.total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t="default"/>
      </items>
    </pivotField>
    <pivotField name="totalIssues.total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t="default"/>
      </items>
    </pivotField>
    <pivotField name="closedIssues.total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Data de Criaçã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t="default"/>
      </items>
    </pivotField>
    <pivotField name="Hora de Criaçã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dade (Anos)" axis="axisRow" dataField="1" compact="0" outline="0" multipleItemSelectionAllowed="1" showAll="0" sortType="ascending">
      <items>
        <item x="14"/>
        <item x="12"/>
        <item x="10"/>
        <item x="1"/>
        <item x="6"/>
        <item x="4"/>
        <item x="3"/>
        <item x="0"/>
        <item x="2"/>
        <item x="5"/>
        <item x="9"/>
        <item x="7"/>
        <item x="11"/>
        <item x="8"/>
        <item x="13"/>
        <item t="default"/>
      </items>
    </pivotField>
    <pivotField name="Data do Ultimo Update" compact="0" numFmtId="164" outline="0" multipleItemSelectionAllowed="1" showAll="0">
      <items>
        <item x="0"/>
        <item x="1"/>
        <item x="2"/>
        <item x="3"/>
        <item t="default"/>
      </items>
    </pivotField>
    <pivotField name="Hora do Ultimo Up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t="default"/>
      </items>
    </pivotField>
    <pivotField name="Tempo desde o Ultimo Update (Hora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Razão (Issues Fechadas por Total de Issues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t="default"/>
      </items>
    </pivotField>
  </pivotFields>
  <rowFields>
    <field x="10"/>
  </rowFields>
  <pageFields>
    <pageField fld="0"/>
  </pageFields>
  <dataFields>
    <dataField name="COUNT of Idade (Anos)" fld="10" subtotal="countNums" baseField="0"/>
  </dataFields>
</pivotTableDefinition>
</file>

<file path=xl/pivotTables/pivotTable2.xml><?xml version="1.0" encoding="utf-8"?>
<pivotTableDefinition xmlns="http://schemas.openxmlformats.org/spreadsheetml/2006/main" name="Questionamento 05" cacheId="0" dataCaption="" compact="0" compactData="0">
  <location ref="A1:B48" firstHeaderRow="0" firstDataRow="1" firstDataCol="0"/>
  <pivotFields>
    <pivotField name="nameWithOwn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created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updated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releases.total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primaryLanguage.name" axis="axisRow" dataField="1" compact="0" outline="0" multipleItemSelectionAllowed="1" showAll="0" sortType="ascending">
      <items>
        <item x="43"/>
        <item x="21"/>
        <item x="38"/>
        <item x="7"/>
        <item x="13"/>
        <item x="4"/>
        <item x="16"/>
        <item x="45"/>
        <item x="14"/>
        <item x="6"/>
        <item x="20"/>
        <item x="42"/>
        <item x="39"/>
        <item x="10"/>
        <item x="35"/>
        <item x="17"/>
        <item x="8"/>
        <item x="3"/>
        <item x="37"/>
        <item x="26"/>
        <item x="24"/>
        <item x="23"/>
        <item x="32"/>
        <item x="28"/>
        <item x="9"/>
        <item x="1"/>
        <item x="19"/>
        <item x="30"/>
        <item x="44"/>
        <item x="40"/>
        <item x="15"/>
        <item x="2"/>
        <item x="36"/>
        <item x="22"/>
        <item x="11"/>
        <item x="29"/>
        <item x="27"/>
        <item x="5"/>
        <item x="41"/>
        <item x="25"/>
        <item x="31"/>
        <item x="0"/>
        <item x="34"/>
        <item x="18"/>
        <item x="12"/>
        <item x="33"/>
        <item t="default"/>
      </items>
    </pivotField>
    <pivotField name="pullRequests.total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t="default"/>
      </items>
    </pivotField>
    <pivotField name="totalIssues.total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t="default"/>
      </items>
    </pivotField>
    <pivotField name="closedIssues.total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name="Data de Criaçã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t="default"/>
      </items>
    </pivotField>
    <pivotField name="Hora de Criaçã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dade (Ano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ata do Ultimo Update" compact="0" numFmtId="164" outline="0" multipleItemSelectionAllowed="1" showAll="0">
      <items>
        <item x="0"/>
        <item x="1"/>
        <item x="2"/>
        <item x="3"/>
        <item t="default"/>
      </items>
    </pivotField>
    <pivotField name="Hora do Ultimo Up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t="default"/>
      </items>
    </pivotField>
    <pivotField name="Tempo desde o Ultimo Update (Hora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Razão (Issues Fechadas por Total de Issues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t="default"/>
      </items>
    </pivotField>
  </pivotFields>
  <rowFields>
    <field x="4"/>
  </rowFields>
  <dataFields>
    <dataField name="COUNTA of primaryLanguage.name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0"/>
    <col customWidth="1" min="2" max="3" width="18.0"/>
    <col customWidth="1" min="4" max="4" width="19.0"/>
    <col customWidth="1" min="5" max="5" width="22.25"/>
    <col customWidth="1" min="6" max="8" width="22.75"/>
    <col customWidth="1" min="9" max="9" width="16.13"/>
    <col customWidth="1" min="10" max="10" width="16.25"/>
    <col customWidth="1" min="11" max="11" width="13.63"/>
    <col customWidth="1" min="12" max="12" width="21.38"/>
    <col customWidth="1" min="13" max="13" width="21.5"/>
    <col customWidth="1" min="14" max="15" width="3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3" t="s">
        <v>12</v>
      </c>
      <c r="N1" s="5" t="s">
        <v>13</v>
      </c>
      <c r="O1" s="6" t="s">
        <v>14</v>
      </c>
    </row>
    <row r="2">
      <c r="A2" s="1" t="s">
        <v>15</v>
      </c>
      <c r="B2" s="1" t="s">
        <v>16</v>
      </c>
      <c r="C2" s="1" t="s">
        <v>17</v>
      </c>
      <c r="D2" s="1">
        <v>0.0</v>
      </c>
      <c r="E2" s="1" t="s">
        <v>18</v>
      </c>
      <c r="F2" s="1">
        <v>18107.0</v>
      </c>
      <c r="G2" s="1">
        <v>16273.0</v>
      </c>
      <c r="H2" s="1">
        <v>16137.0</v>
      </c>
      <c r="I2" s="7">
        <f>IFERROR(__xludf.DUMMYFUNCTION("SPLIT(B2,""T""""Z"")"),41997.0)</f>
        <v>41997</v>
      </c>
      <c r="J2" s="8">
        <f>IFERROR(__xludf.DUMMYFUNCTION("""COMPUTED_VALUE"""),0.7425810185185185)</f>
        <v>0.7425810185</v>
      </c>
      <c r="K2" s="9">
        <f t="shared" ref="K2:K1001" si="1">DATEDIF(I2,TODAY(),"Y")</f>
        <v>7</v>
      </c>
      <c r="L2" s="7">
        <f>IFERROR(__xludf.DUMMYFUNCTION("SPLIT(C2,""T""""Z"")"),44798.0)</f>
        <v>44798</v>
      </c>
      <c r="M2" s="8">
        <f>IFERROR(__xludf.DUMMYFUNCTION("""COMPUTED_VALUE"""),0.5881828703703704)</f>
        <v>0.5881828704</v>
      </c>
      <c r="N2" s="10">
        <f t="shared" ref="N2:N1001" si="2">((((DATEDIF(L2, TODAY(),"D")*86400)+(HOUR(M2)*3600)+(MINUTE(M2)*60)+SECOND(M2))/60)/60)</f>
        <v>134.1163889</v>
      </c>
      <c r="O2" s="11">
        <f t="shared" ref="O2:O1001" si="3">IFERROR(H2/G2,0)</f>
        <v>0.9916425982</v>
      </c>
    </row>
    <row r="3">
      <c r="A3" s="1" t="s">
        <v>19</v>
      </c>
      <c r="B3" s="1" t="s">
        <v>20</v>
      </c>
      <c r="C3" s="1" t="s">
        <v>21</v>
      </c>
      <c r="D3" s="1">
        <v>0.0</v>
      </c>
      <c r="E3" s="1" t="s">
        <v>22</v>
      </c>
      <c r="F3" s="1">
        <v>1063.0</v>
      </c>
      <c r="G3" s="1">
        <v>0.0</v>
      </c>
      <c r="H3" s="1">
        <v>0.0</v>
      </c>
      <c r="I3" s="7">
        <f>IFERROR(__xludf.DUMMYFUNCTION("SPLIT(B3,""T""""Z"")"),43550.0)</f>
        <v>43550</v>
      </c>
      <c r="J3" s="8">
        <f>IFERROR(__xludf.DUMMYFUNCTION("""COMPUTED_VALUE"""),0.3133564814814815)</f>
        <v>0.3133564815</v>
      </c>
      <c r="K3" s="9">
        <f t="shared" si="1"/>
        <v>3</v>
      </c>
      <c r="L3" s="7">
        <f>IFERROR(__xludf.DUMMYFUNCTION("SPLIT(C3,""T""""Z"")"),44798.0)</f>
        <v>44798</v>
      </c>
      <c r="M3" s="8">
        <f>IFERROR(__xludf.DUMMYFUNCTION("""COMPUTED_VALUE"""),0.540162037037037)</f>
        <v>0.540162037</v>
      </c>
      <c r="N3" s="12">
        <f t="shared" si="2"/>
        <v>132.9638889</v>
      </c>
      <c r="O3" s="11">
        <f t="shared" si="3"/>
        <v>0</v>
      </c>
    </row>
    <row r="4">
      <c r="A4" s="1" t="s">
        <v>23</v>
      </c>
      <c r="B4" s="1" t="s">
        <v>24</v>
      </c>
      <c r="C4" s="1" t="s">
        <v>25</v>
      </c>
      <c r="D4" s="1">
        <v>0.0</v>
      </c>
      <c r="E4" s="1" t="s">
        <v>22</v>
      </c>
      <c r="F4" s="1">
        <v>4492.0</v>
      </c>
      <c r="G4" s="1">
        <v>730.0</v>
      </c>
      <c r="H4" s="1">
        <v>703.0</v>
      </c>
      <c r="I4" s="7">
        <f>IFERROR(__xludf.DUMMYFUNCTION("SPLIT(B4,""T""""Z"")"),41558.0)</f>
        <v>41558</v>
      </c>
      <c r="J4" s="8">
        <f>IFERROR(__xludf.DUMMYFUNCTION("""COMPUTED_VALUE"""),0.285150462962963)</f>
        <v>0.285150463</v>
      </c>
      <c r="K4" s="9">
        <f t="shared" si="1"/>
        <v>8</v>
      </c>
      <c r="L4" s="7">
        <f>IFERROR(__xludf.DUMMYFUNCTION("SPLIT(C4,""T""""Z"")"),44798.0)</f>
        <v>44798</v>
      </c>
      <c r="M4" s="8">
        <f>IFERROR(__xludf.DUMMYFUNCTION("""COMPUTED_VALUE"""),0.6090509259259259)</f>
        <v>0.6090509259</v>
      </c>
      <c r="N4" s="12">
        <f t="shared" si="2"/>
        <v>134.6172222</v>
      </c>
      <c r="O4" s="11">
        <f t="shared" si="3"/>
        <v>0.9630136986</v>
      </c>
    </row>
    <row r="5">
      <c r="A5" s="1" t="s">
        <v>26</v>
      </c>
      <c r="B5" s="1" t="s">
        <v>27</v>
      </c>
      <c r="C5" s="1" t="s">
        <v>28</v>
      </c>
      <c r="D5" s="1">
        <v>0.0</v>
      </c>
      <c r="E5" s="13" t="s">
        <v>22</v>
      </c>
      <c r="F5" s="1">
        <v>315.0</v>
      </c>
      <c r="G5" s="1">
        <v>343.0</v>
      </c>
      <c r="H5" s="1">
        <v>306.0</v>
      </c>
      <c r="I5" s="7">
        <f>IFERROR(__xludf.DUMMYFUNCTION("SPLIT(B5,""T""""Z"")"),42527.0)</f>
        <v>42527</v>
      </c>
      <c r="J5" s="8">
        <f>IFERROR(__xludf.DUMMYFUNCTION("""COMPUTED_VALUE"""),0.10708333333333334)</f>
        <v>0.1070833333</v>
      </c>
      <c r="K5" s="9">
        <f t="shared" si="1"/>
        <v>6</v>
      </c>
      <c r="L5" s="7">
        <f>IFERROR(__xludf.DUMMYFUNCTION("SPLIT(C5,""T""""Z"")"),44798.0)</f>
        <v>44798</v>
      </c>
      <c r="M5" s="8">
        <f>IFERROR(__xludf.DUMMYFUNCTION("""COMPUTED_VALUE"""),0.6073032407407407)</f>
        <v>0.6073032407</v>
      </c>
      <c r="N5" s="12">
        <f t="shared" si="2"/>
        <v>134.5752778</v>
      </c>
      <c r="O5" s="11">
        <f t="shared" si="3"/>
        <v>0.8921282799</v>
      </c>
    </row>
    <row r="6">
      <c r="A6" s="1" t="s">
        <v>29</v>
      </c>
      <c r="B6" s="1" t="s">
        <v>30</v>
      </c>
      <c r="C6" s="1" t="s">
        <v>31</v>
      </c>
      <c r="D6" s="1">
        <v>0.0</v>
      </c>
      <c r="E6" s="13" t="s">
        <v>22</v>
      </c>
      <c r="F6" s="1">
        <v>591.0</v>
      </c>
      <c r="G6" s="1">
        <v>311.0</v>
      </c>
      <c r="H6" s="1">
        <v>290.0</v>
      </c>
      <c r="I6" s="7">
        <f>IFERROR(__xludf.DUMMYFUNCTION("SPLIT(B6,""T""""Z"")"),41831.0)</f>
        <v>41831</v>
      </c>
      <c r="J6" s="8">
        <f>IFERROR(__xludf.DUMMYFUNCTION("""COMPUTED_VALUE"""),0.5712615740740741)</f>
        <v>0.5712615741</v>
      </c>
      <c r="K6" s="9">
        <f t="shared" si="1"/>
        <v>8</v>
      </c>
      <c r="L6" s="7">
        <f>IFERROR(__xludf.DUMMYFUNCTION("SPLIT(C6,""T""""Z"")"),44798.0)</f>
        <v>44798</v>
      </c>
      <c r="M6" s="8">
        <f>IFERROR(__xludf.DUMMYFUNCTION("""COMPUTED_VALUE"""),0.6089814814814815)</f>
        <v>0.6089814815</v>
      </c>
      <c r="N6" s="12">
        <f t="shared" si="2"/>
        <v>134.6155556</v>
      </c>
      <c r="O6" s="11">
        <f t="shared" si="3"/>
        <v>0.9324758842</v>
      </c>
    </row>
    <row r="7">
      <c r="A7" s="1" t="s">
        <v>32</v>
      </c>
      <c r="B7" s="1" t="s">
        <v>33</v>
      </c>
      <c r="C7" s="1" t="s">
        <v>34</v>
      </c>
      <c r="D7" s="1">
        <v>0.0</v>
      </c>
      <c r="E7" s="1" t="s">
        <v>18</v>
      </c>
      <c r="F7" s="1">
        <v>517.0</v>
      </c>
      <c r="G7" s="1">
        <v>635.0</v>
      </c>
      <c r="H7" s="1">
        <v>537.0</v>
      </c>
      <c r="I7" s="7">
        <f>IFERROR(__xludf.DUMMYFUNCTION("SPLIT(B7,""T""""Z"")"),42809.0)</f>
        <v>42809</v>
      </c>
      <c r="J7" s="8">
        <f>IFERROR(__xludf.DUMMYFUNCTION("""COMPUTED_VALUE"""),0.5735185185185185)</f>
        <v>0.5735185185</v>
      </c>
      <c r="K7" s="9">
        <f t="shared" si="1"/>
        <v>5</v>
      </c>
      <c r="L7" s="7">
        <f>IFERROR(__xludf.DUMMYFUNCTION("SPLIT(C7,""T""""Z"")"),44798.0)</f>
        <v>44798</v>
      </c>
      <c r="M7" s="8">
        <f>IFERROR(__xludf.DUMMYFUNCTION("""COMPUTED_VALUE"""),0.6087962962962963)</f>
        <v>0.6087962963</v>
      </c>
      <c r="N7" s="10">
        <f t="shared" si="2"/>
        <v>134.6111111</v>
      </c>
      <c r="O7" s="11">
        <f t="shared" si="3"/>
        <v>0.8456692913</v>
      </c>
    </row>
    <row r="8">
      <c r="A8" s="1" t="s">
        <v>35</v>
      </c>
      <c r="B8" s="1" t="s">
        <v>36</v>
      </c>
      <c r="C8" s="1" t="s">
        <v>37</v>
      </c>
      <c r="D8" s="1">
        <v>0.0</v>
      </c>
      <c r="E8" s="1" t="s">
        <v>38</v>
      </c>
      <c r="F8" s="1">
        <v>1870.0</v>
      </c>
      <c r="G8" s="1">
        <v>398.0</v>
      </c>
      <c r="H8" s="1">
        <v>396.0</v>
      </c>
      <c r="I8" s="7">
        <f>IFERROR(__xludf.DUMMYFUNCTION("SPLIT(B8,""T""""Z"")"),42449.0)</f>
        <v>42449</v>
      </c>
      <c r="J8" s="8">
        <f>IFERROR(__xludf.DUMMYFUNCTION("""COMPUTED_VALUE"""),0.9928472222222222)</f>
        <v>0.9928472222</v>
      </c>
      <c r="K8" s="9">
        <f t="shared" si="1"/>
        <v>6</v>
      </c>
      <c r="L8" s="7">
        <f>IFERROR(__xludf.DUMMYFUNCTION("SPLIT(C8,""T""""Z"")"),44798.0)</f>
        <v>44798</v>
      </c>
      <c r="M8" s="8">
        <f>IFERROR(__xludf.DUMMYFUNCTION("""COMPUTED_VALUE"""),0.6021296296296297)</f>
        <v>0.6021296296</v>
      </c>
      <c r="N8" s="10">
        <f t="shared" si="2"/>
        <v>134.4511111</v>
      </c>
      <c r="O8" s="11">
        <f t="shared" si="3"/>
        <v>0.9949748744</v>
      </c>
    </row>
    <row r="9">
      <c r="A9" s="1" t="s">
        <v>39</v>
      </c>
      <c r="B9" s="1" t="s">
        <v>40</v>
      </c>
      <c r="C9" s="1" t="s">
        <v>41</v>
      </c>
      <c r="D9" s="1">
        <v>241.0</v>
      </c>
      <c r="E9" s="1" t="s">
        <v>18</v>
      </c>
      <c r="F9" s="1">
        <v>1100.0</v>
      </c>
      <c r="G9" s="1">
        <v>9855.0</v>
      </c>
      <c r="H9" s="1">
        <v>9524.0</v>
      </c>
      <c r="I9" s="7">
        <f>IFERROR(__xludf.DUMMYFUNCTION("SPLIT(B9,""T""""Z"")"),41484.0)</f>
        <v>41484</v>
      </c>
      <c r="J9" s="8">
        <f>IFERROR(__xludf.DUMMYFUNCTION("""COMPUTED_VALUE"""),0.14225694444444445)</f>
        <v>0.1422569444</v>
      </c>
      <c r="K9" s="9">
        <f t="shared" si="1"/>
        <v>9</v>
      </c>
      <c r="L9" s="7">
        <f>IFERROR(__xludf.DUMMYFUNCTION("SPLIT(C9,""T""""Z"")"),44798.0)</f>
        <v>44798</v>
      </c>
      <c r="M9" s="8">
        <f>IFERROR(__xludf.DUMMYFUNCTION("""COMPUTED_VALUE"""),0.6034375)</f>
        <v>0.6034375</v>
      </c>
      <c r="N9" s="10">
        <f t="shared" si="2"/>
        <v>134.4825</v>
      </c>
      <c r="O9" s="11">
        <f t="shared" si="3"/>
        <v>0.9664129883</v>
      </c>
    </row>
    <row r="10">
      <c r="A10" s="1" t="s">
        <v>42</v>
      </c>
      <c r="B10" s="1" t="s">
        <v>43</v>
      </c>
      <c r="C10" s="1" t="s">
        <v>44</v>
      </c>
      <c r="D10" s="1">
        <v>0.0</v>
      </c>
      <c r="E10" s="1" t="s">
        <v>38</v>
      </c>
      <c r="F10" s="1">
        <v>193.0</v>
      </c>
      <c r="G10" s="1">
        <v>231.0</v>
      </c>
      <c r="H10" s="1">
        <v>67.0</v>
      </c>
      <c r="I10" s="7">
        <f>IFERROR(__xludf.DUMMYFUNCTION("SPLIT(B10,""T""""Z"")"),42792.0)</f>
        <v>42792</v>
      </c>
      <c r="J10" s="8">
        <f>IFERROR(__xludf.DUMMYFUNCTION("""COMPUTED_VALUE"""),0.6774074074074075)</f>
        <v>0.6774074074</v>
      </c>
      <c r="K10" s="9">
        <f t="shared" si="1"/>
        <v>5</v>
      </c>
      <c r="L10" s="7">
        <f>IFERROR(__xludf.DUMMYFUNCTION("SPLIT(C10,""T""""Z"")"),44798.0)</f>
        <v>44798</v>
      </c>
      <c r="M10" s="8">
        <f>IFERROR(__xludf.DUMMYFUNCTION("""COMPUTED_VALUE"""),0.5985648148148148)</f>
        <v>0.5985648148</v>
      </c>
      <c r="N10" s="10">
        <f t="shared" si="2"/>
        <v>134.3655556</v>
      </c>
      <c r="O10" s="11">
        <f t="shared" si="3"/>
        <v>0.29004329</v>
      </c>
    </row>
    <row r="11">
      <c r="A11" s="1" t="s">
        <v>45</v>
      </c>
      <c r="B11" s="1" t="s">
        <v>46</v>
      </c>
      <c r="C11" s="1" t="s">
        <v>47</v>
      </c>
      <c r="D11" s="1">
        <v>99.0</v>
      </c>
      <c r="E11" s="1" t="s">
        <v>48</v>
      </c>
      <c r="F11" s="1">
        <v>8427.0</v>
      </c>
      <c r="G11" s="1">
        <v>11666.0</v>
      </c>
      <c r="H11" s="1">
        <v>10892.0</v>
      </c>
      <c r="I11" s="7">
        <f>IFERROR(__xludf.DUMMYFUNCTION("SPLIT(B11,""T""""Z"")"),41418.0)</f>
        <v>41418</v>
      </c>
      <c r="J11" s="8">
        <f>IFERROR(__xludf.DUMMYFUNCTION("""COMPUTED_VALUE"""),0.6777083333333334)</f>
        <v>0.6777083333</v>
      </c>
      <c r="K11" s="9">
        <f t="shared" si="1"/>
        <v>9</v>
      </c>
      <c r="L11" s="7">
        <f>IFERROR(__xludf.DUMMYFUNCTION("SPLIT(C11,""T""""Z"")"),44798.0)</f>
        <v>44798</v>
      </c>
      <c r="M11" s="8">
        <f>IFERROR(__xludf.DUMMYFUNCTION("""COMPUTED_VALUE"""),0.60625)</f>
        <v>0.60625</v>
      </c>
      <c r="N11" s="10">
        <f t="shared" si="2"/>
        <v>134.55</v>
      </c>
      <c r="O11" s="11">
        <f t="shared" si="3"/>
        <v>0.9336533516</v>
      </c>
    </row>
    <row r="12">
      <c r="A12" s="1" t="s">
        <v>49</v>
      </c>
      <c r="B12" s="1" t="s">
        <v>50</v>
      </c>
      <c r="C12" s="1" t="s">
        <v>51</v>
      </c>
      <c r="D12" s="1">
        <v>172.0</v>
      </c>
      <c r="E12" s="1" t="s">
        <v>52</v>
      </c>
      <c r="F12" s="1">
        <v>15001.0</v>
      </c>
      <c r="G12" s="1">
        <v>35416.0</v>
      </c>
      <c r="H12" s="1">
        <v>33301.0</v>
      </c>
      <c r="I12" s="7">
        <f>IFERROR(__xludf.DUMMYFUNCTION("SPLIT(B12,""T""""Z"")"),42315.0)</f>
        <v>42315</v>
      </c>
      <c r="J12" s="8">
        <f>IFERROR(__xludf.DUMMYFUNCTION("""COMPUTED_VALUE"""),0.055092592592592596)</f>
        <v>0.05509259259</v>
      </c>
      <c r="K12" s="9">
        <f t="shared" si="1"/>
        <v>6</v>
      </c>
      <c r="L12" s="7">
        <f>IFERROR(__xludf.DUMMYFUNCTION("SPLIT(C12,""T""""Z"")"),44798.0)</f>
        <v>44798</v>
      </c>
      <c r="M12" s="8">
        <f>IFERROR(__xludf.DUMMYFUNCTION("""COMPUTED_VALUE"""),0.5883912037037037)</f>
        <v>0.5883912037</v>
      </c>
      <c r="N12" s="10">
        <f t="shared" si="2"/>
        <v>134.1213889</v>
      </c>
      <c r="O12" s="11">
        <f t="shared" si="3"/>
        <v>0.9402812288</v>
      </c>
    </row>
    <row r="13">
      <c r="A13" s="1" t="s">
        <v>53</v>
      </c>
      <c r="B13" s="1" t="s">
        <v>54</v>
      </c>
      <c r="C13" s="1" t="s">
        <v>55</v>
      </c>
      <c r="D13" s="1">
        <v>0.0</v>
      </c>
      <c r="E13" s="13" t="s">
        <v>22</v>
      </c>
      <c r="F13" s="1">
        <v>91.0</v>
      </c>
      <c r="G13" s="1">
        <v>517.0</v>
      </c>
      <c r="H13" s="1">
        <v>345.0</v>
      </c>
      <c r="I13" s="7">
        <f>IFERROR(__xludf.DUMMYFUNCTION("SPLIT(B13,""T""""Z"")"),43229.0)</f>
        <v>43229</v>
      </c>
      <c r="J13" s="8">
        <f>IFERROR(__xludf.DUMMYFUNCTION("""COMPUTED_VALUE"""),0.5022916666666667)</f>
        <v>0.5022916667</v>
      </c>
      <c r="K13" s="9">
        <f t="shared" si="1"/>
        <v>4</v>
      </c>
      <c r="L13" s="7">
        <f>IFERROR(__xludf.DUMMYFUNCTION("SPLIT(C13,""T""""Z"")"),44798.0)</f>
        <v>44798</v>
      </c>
      <c r="M13" s="8">
        <f>IFERROR(__xludf.DUMMYFUNCTION("""COMPUTED_VALUE"""),0.6006944444444444)</f>
        <v>0.6006944444</v>
      </c>
      <c r="N13" s="12">
        <f t="shared" si="2"/>
        <v>134.4166667</v>
      </c>
      <c r="O13" s="11">
        <f t="shared" si="3"/>
        <v>0.667311412</v>
      </c>
    </row>
    <row r="14">
      <c r="A14" s="1" t="s">
        <v>56</v>
      </c>
      <c r="B14" s="1" t="s">
        <v>57</v>
      </c>
      <c r="C14" s="1" t="s">
        <v>58</v>
      </c>
      <c r="D14" s="1">
        <v>79.0</v>
      </c>
      <c r="E14" s="1" t="s">
        <v>48</v>
      </c>
      <c r="F14" s="1">
        <v>7783.0</v>
      </c>
      <c r="G14" s="1">
        <v>21457.0</v>
      </c>
      <c r="H14" s="1">
        <v>21183.0</v>
      </c>
      <c r="I14" s="7">
        <f>IFERROR(__xludf.DUMMYFUNCTION("SPLIT(B14,""T""""Z"")"),40753.0)</f>
        <v>40753</v>
      </c>
      <c r="J14" s="8">
        <f>IFERROR(__xludf.DUMMYFUNCTION("""COMPUTED_VALUE"""),0.8881944444444444)</f>
        <v>0.8881944444</v>
      </c>
      <c r="K14" s="9">
        <f t="shared" si="1"/>
        <v>11</v>
      </c>
      <c r="L14" s="7">
        <f>IFERROR(__xludf.DUMMYFUNCTION("SPLIT(C14,""T""""Z"")"),44798.0)</f>
        <v>44798</v>
      </c>
      <c r="M14" s="8">
        <f>IFERROR(__xludf.DUMMYFUNCTION("""COMPUTED_VALUE"""),0.5940509259259259)</f>
        <v>0.5940509259</v>
      </c>
      <c r="N14" s="10">
        <f t="shared" si="2"/>
        <v>134.2572222</v>
      </c>
      <c r="O14" s="11">
        <f t="shared" si="3"/>
        <v>0.9872302745</v>
      </c>
    </row>
    <row r="15">
      <c r="A15" s="1" t="s">
        <v>59</v>
      </c>
      <c r="B15" s="1" t="s">
        <v>60</v>
      </c>
      <c r="C15" s="1" t="s">
        <v>61</v>
      </c>
      <c r="D15" s="1">
        <v>0.0</v>
      </c>
      <c r="E15" s="13" t="s">
        <v>22</v>
      </c>
      <c r="F15" s="1">
        <v>354.0</v>
      </c>
      <c r="G15" s="1">
        <v>902.0</v>
      </c>
      <c r="H15" s="1">
        <v>820.0</v>
      </c>
      <c r="I15" s="7">
        <f>IFERROR(__xludf.DUMMYFUNCTION("SPLIT(B15,""T""""Z"")"),41594.0)</f>
        <v>41594</v>
      </c>
      <c r="J15" s="8">
        <f>IFERROR(__xludf.DUMMYFUNCTION("""COMPUTED_VALUE"""),0.10930555555555556)</f>
        <v>0.1093055556</v>
      </c>
      <c r="K15" s="9">
        <f t="shared" si="1"/>
        <v>8</v>
      </c>
      <c r="L15" s="7">
        <f>IFERROR(__xludf.DUMMYFUNCTION("SPLIT(C15,""T""""Z"")"),44798.0)</f>
        <v>44798</v>
      </c>
      <c r="M15" s="8">
        <f>IFERROR(__xludf.DUMMYFUNCTION("""COMPUTED_VALUE"""),0.5913078703703704)</f>
        <v>0.5913078704</v>
      </c>
      <c r="N15" s="12">
        <f t="shared" si="2"/>
        <v>134.1913889</v>
      </c>
      <c r="O15" s="11">
        <f t="shared" si="3"/>
        <v>0.9090909091</v>
      </c>
    </row>
    <row r="16">
      <c r="A16" s="1" t="s">
        <v>62</v>
      </c>
      <c r="B16" s="1" t="s">
        <v>63</v>
      </c>
      <c r="C16" s="1" t="s">
        <v>64</v>
      </c>
      <c r="D16" s="1">
        <v>0.0</v>
      </c>
      <c r="E16" s="13" t="s">
        <v>22</v>
      </c>
      <c r="F16" s="1">
        <v>375.0</v>
      </c>
      <c r="G16" s="1">
        <v>552.0</v>
      </c>
      <c r="H16" s="1">
        <v>438.0</v>
      </c>
      <c r="I16" s="7">
        <f>IFERROR(__xludf.DUMMYFUNCTION("SPLIT(B16,""T""""Z"")"),43144.0)</f>
        <v>43144</v>
      </c>
      <c r="J16" s="8">
        <f>IFERROR(__xludf.DUMMYFUNCTION("""COMPUTED_VALUE"""),0.6225)</f>
        <v>0.6225</v>
      </c>
      <c r="K16" s="9">
        <f t="shared" si="1"/>
        <v>4</v>
      </c>
      <c r="L16" s="7">
        <f>IFERROR(__xludf.DUMMYFUNCTION("SPLIT(C16,""T""""Z"")"),44798.0)</f>
        <v>44798</v>
      </c>
      <c r="M16" s="8">
        <f>IFERROR(__xludf.DUMMYFUNCTION("""COMPUTED_VALUE"""),0.5837731481481482)</f>
        <v>0.5837731481</v>
      </c>
      <c r="N16" s="12">
        <f t="shared" si="2"/>
        <v>134.0105556</v>
      </c>
      <c r="O16" s="11">
        <f t="shared" si="3"/>
        <v>0.7934782609</v>
      </c>
    </row>
    <row r="17">
      <c r="A17" s="1" t="s">
        <v>65</v>
      </c>
      <c r="B17" s="1" t="s">
        <v>66</v>
      </c>
      <c r="C17" s="1" t="s">
        <v>67</v>
      </c>
      <c r="D17" s="1">
        <v>0.0</v>
      </c>
      <c r="E17" s="1" t="s">
        <v>68</v>
      </c>
      <c r="F17" s="1">
        <v>2706.0</v>
      </c>
      <c r="G17" s="1">
        <v>4244.0</v>
      </c>
      <c r="H17" s="1">
        <v>4017.0</v>
      </c>
      <c r="I17" s="7">
        <f>IFERROR(__xludf.DUMMYFUNCTION("SPLIT(B17,""T""""Z"")"),40053.0)</f>
        <v>40053</v>
      </c>
      <c r="J17" s="8">
        <f>IFERROR(__xludf.DUMMYFUNCTION("""COMPUTED_VALUE"""),0.7608449074074074)</f>
        <v>0.7608449074</v>
      </c>
      <c r="K17" s="9">
        <f t="shared" si="1"/>
        <v>13</v>
      </c>
      <c r="L17" s="7">
        <f>IFERROR(__xludf.DUMMYFUNCTION("SPLIT(C17,""T""""Z"")"),44798.0)</f>
        <v>44798</v>
      </c>
      <c r="M17" s="8">
        <f>IFERROR(__xludf.DUMMYFUNCTION("""COMPUTED_VALUE"""),0.6084837962962963)</f>
        <v>0.6084837963</v>
      </c>
      <c r="N17" s="10">
        <f t="shared" si="2"/>
        <v>134.6036111</v>
      </c>
      <c r="O17" s="11">
        <f t="shared" si="3"/>
        <v>0.9465127238</v>
      </c>
    </row>
    <row r="18">
      <c r="A18" s="1" t="s">
        <v>69</v>
      </c>
      <c r="B18" s="1" t="s">
        <v>70</v>
      </c>
      <c r="C18" s="1" t="s">
        <v>71</v>
      </c>
      <c r="D18" s="1">
        <v>0.0</v>
      </c>
      <c r="E18" s="1" t="s">
        <v>48</v>
      </c>
      <c r="F18" s="1">
        <v>267.0</v>
      </c>
      <c r="G18" s="1">
        <v>292.0</v>
      </c>
      <c r="H18" s="1">
        <v>190.0</v>
      </c>
      <c r="I18" s="7">
        <f>IFERROR(__xludf.DUMMYFUNCTION("SPLIT(B18,""T""""Z"")"),43183.0)</f>
        <v>43183</v>
      </c>
      <c r="J18" s="8">
        <f>IFERROR(__xludf.DUMMYFUNCTION("""COMPUTED_VALUE"""),0.32435185185185184)</f>
        <v>0.3243518519</v>
      </c>
      <c r="K18" s="9">
        <f t="shared" si="1"/>
        <v>4</v>
      </c>
      <c r="L18" s="7">
        <f>IFERROR(__xludf.DUMMYFUNCTION("SPLIT(C18,""T""""Z"")"),44798.0)</f>
        <v>44798</v>
      </c>
      <c r="M18" s="8">
        <f>IFERROR(__xludf.DUMMYFUNCTION("""COMPUTED_VALUE"""),0.6069328703703704)</f>
        <v>0.6069328704</v>
      </c>
      <c r="N18" s="10">
        <f t="shared" si="2"/>
        <v>134.5663889</v>
      </c>
      <c r="O18" s="11">
        <f t="shared" si="3"/>
        <v>0.6506849315</v>
      </c>
    </row>
    <row r="19">
      <c r="A19" s="1" t="s">
        <v>72</v>
      </c>
      <c r="B19" s="1" t="s">
        <v>73</v>
      </c>
      <c r="C19" s="1" t="s">
        <v>74</v>
      </c>
      <c r="D19" s="1">
        <v>0.0</v>
      </c>
      <c r="E19" s="1" t="s">
        <v>75</v>
      </c>
      <c r="F19" s="1">
        <v>26782.0</v>
      </c>
      <c r="G19" s="1">
        <v>72255.0</v>
      </c>
      <c r="H19" s="1">
        <v>61384.0</v>
      </c>
      <c r="I19" s="7">
        <f>IFERROR(__xludf.DUMMYFUNCTION("SPLIT(B19,""T""""Z"")"),42069.0)</f>
        <v>42069</v>
      </c>
      <c r="J19" s="8">
        <f>IFERROR(__xludf.DUMMYFUNCTION("""COMPUTED_VALUE"""),0.954837962962963)</f>
        <v>0.954837963</v>
      </c>
      <c r="K19" s="9">
        <f t="shared" si="1"/>
        <v>7</v>
      </c>
      <c r="L19" s="7">
        <f>IFERROR(__xludf.DUMMYFUNCTION("SPLIT(C19,""T""""Z"")"),44798.0)</f>
        <v>44798</v>
      </c>
      <c r="M19" s="8">
        <f>IFERROR(__xludf.DUMMYFUNCTION("""COMPUTED_VALUE"""),0.5484953703703703)</f>
        <v>0.5484953704</v>
      </c>
      <c r="N19" s="10">
        <f t="shared" si="2"/>
        <v>133.1638889</v>
      </c>
      <c r="O19" s="11">
        <f t="shared" si="3"/>
        <v>0.8495467442</v>
      </c>
    </row>
    <row r="20">
      <c r="A20" s="1" t="s">
        <v>76</v>
      </c>
      <c r="B20" s="1" t="s">
        <v>77</v>
      </c>
      <c r="C20" s="1" t="s">
        <v>78</v>
      </c>
      <c r="D20" s="1">
        <v>0.0</v>
      </c>
      <c r="E20" s="1" t="s">
        <v>38</v>
      </c>
      <c r="F20" s="1">
        <v>1870.0</v>
      </c>
      <c r="G20" s="1">
        <v>1057.0</v>
      </c>
      <c r="H20" s="1">
        <v>1029.0</v>
      </c>
      <c r="I20" s="7">
        <f>IFERROR(__xludf.DUMMYFUNCTION("SPLIT(B20,""T""""Z"")"),42567.0)</f>
        <v>42567</v>
      </c>
      <c r="J20" s="8">
        <f>IFERROR(__xludf.DUMMYFUNCTION("""COMPUTED_VALUE"""),0.40556712962962965)</f>
        <v>0.4055671296</v>
      </c>
      <c r="K20" s="9">
        <f t="shared" si="1"/>
        <v>6</v>
      </c>
      <c r="L20" s="7">
        <f>IFERROR(__xludf.DUMMYFUNCTION("SPLIT(C20,""T""""Z"")"),44798.0)</f>
        <v>44798</v>
      </c>
      <c r="M20" s="8">
        <f>IFERROR(__xludf.DUMMYFUNCTION("""COMPUTED_VALUE"""),0.5838541666666667)</f>
        <v>0.5838541667</v>
      </c>
      <c r="N20" s="10">
        <f t="shared" si="2"/>
        <v>134.0125</v>
      </c>
      <c r="O20" s="11">
        <f t="shared" si="3"/>
        <v>0.9735099338</v>
      </c>
    </row>
    <row r="21">
      <c r="A21" s="1" t="s">
        <v>79</v>
      </c>
      <c r="B21" s="1" t="s">
        <v>80</v>
      </c>
      <c r="C21" s="1" t="s">
        <v>81</v>
      </c>
      <c r="D21" s="1">
        <v>0.0</v>
      </c>
      <c r="E21" s="1" t="s">
        <v>38</v>
      </c>
      <c r="F21" s="1">
        <v>527.0</v>
      </c>
      <c r="G21" s="1">
        <v>381.0</v>
      </c>
      <c r="H21" s="1">
        <v>357.0</v>
      </c>
      <c r="I21" s="7">
        <f>IFERROR(__xludf.DUMMYFUNCTION("SPLIT(B21,""T""""Z"")"),41817.0)</f>
        <v>41817</v>
      </c>
      <c r="J21" s="8">
        <f>IFERROR(__xludf.DUMMYFUNCTION("""COMPUTED_VALUE"""),0.8750694444444445)</f>
        <v>0.8750694444</v>
      </c>
      <c r="K21" s="9">
        <f t="shared" si="1"/>
        <v>8</v>
      </c>
      <c r="L21" s="7">
        <f>IFERROR(__xludf.DUMMYFUNCTION("SPLIT(C21,""T""""Z"")"),44798.0)</f>
        <v>44798</v>
      </c>
      <c r="M21" s="8">
        <f>IFERROR(__xludf.DUMMYFUNCTION("""COMPUTED_VALUE"""),0.609386574074074)</f>
        <v>0.6093865741</v>
      </c>
      <c r="N21" s="10">
        <f t="shared" si="2"/>
        <v>134.6252778</v>
      </c>
      <c r="O21" s="11">
        <f t="shared" si="3"/>
        <v>0.937007874</v>
      </c>
    </row>
    <row r="22">
      <c r="A22" s="1" t="s">
        <v>82</v>
      </c>
      <c r="B22" s="1" t="s">
        <v>83</v>
      </c>
      <c r="C22" s="1" t="s">
        <v>84</v>
      </c>
      <c r="D22" s="1">
        <v>0.0</v>
      </c>
      <c r="E22" s="13" t="s">
        <v>22</v>
      </c>
      <c r="F22" s="1">
        <v>1522.0</v>
      </c>
      <c r="G22" s="1">
        <v>0.0</v>
      </c>
      <c r="H22" s="1">
        <v>0.0</v>
      </c>
      <c r="I22" s="7">
        <f>IFERROR(__xludf.DUMMYFUNCTION("SPLIT(B22,""T""""Z"")"),40490.0)</f>
        <v>40490</v>
      </c>
      <c r="J22" s="8">
        <f>IFERROR(__xludf.DUMMYFUNCTION("""COMPUTED_VALUE"""),0.8453009259259259)</f>
        <v>0.8453009259</v>
      </c>
      <c r="K22" s="9">
        <f t="shared" si="1"/>
        <v>11</v>
      </c>
      <c r="L22" s="7">
        <f>IFERROR(__xludf.DUMMYFUNCTION("SPLIT(C22,""T""""Z"")"),44798.0)</f>
        <v>44798</v>
      </c>
      <c r="M22" s="8">
        <f>IFERROR(__xludf.DUMMYFUNCTION("""COMPUTED_VALUE"""),0.5896990740740741)</f>
        <v>0.5896990741</v>
      </c>
      <c r="N22" s="12">
        <f t="shared" si="2"/>
        <v>134.1527778</v>
      </c>
      <c r="O22" s="11">
        <f t="shared" si="3"/>
        <v>0</v>
      </c>
    </row>
    <row r="23">
      <c r="A23" s="1" t="s">
        <v>85</v>
      </c>
      <c r="B23" s="1" t="s">
        <v>86</v>
      </c>
      <c r="C23" s="1" t="s">
        <v>87</v>
      </c>
      <c r="D23" s="1">
        <v>0.0</v>
      </c>
      <c r="E23" s="1" t="s">
        <v>88</v>
      </c>
      <c r="F23" s="1">
        <v>9.0</v>
      </c>
      <c r="G23" s="1">
        <v>0.0</v>
      </c>
      <c r="H23" s="1">
        <v>0.0</v>
      </c>
      <c r="I23" s="7">
        <f>IFERROR(__xludf.DUMMYFUNCTION("SPLIT(B23,""T""""Z"")"),40790.0)</f>
        <v>40790</v>
      </c>
      <c r="J23" s="8">
        <f>IFERROR(__xludf.DUMMYFUNCTION("""COMPUTED_VALUE"""),0.9501388888888889)</f>
        <v>0.9501388889</v>
      </c>
      <c r="K23" s="9">
        <f t="shared" si="1"/>
        <v>10</v>
      </c>
      <c r="L23" s="7">
        <f>IFERROR(__xludf.DUMMYFUNCTION("SPLIT(C23,""T""""Z"")"),44798.0)</f>
        <v>44798</v>
      </c>
      <c r="M23" s="8">
        <f>IFERROR(__xludf.DUMMYFUNCTION("""COMPUTED_VALUE"""),0.5913194444444444)</f>
        <v>0.5913194444</v>
      </c>
      <c r="N23" s="10">
        <f t="shared" si="2"/>
        <v>134.1916667</v>
      </c>
      <c r="O23" s="11">
        <f t="shared" si="3"/>
        <v>0</v>
      </c>
    </row>
    <row r="24">
      <c r="A24" s="1" t="s">
        <v>89</v>
      </c>
      <c r="B24" s="1" t="s">
        <v>90</v>
      </c>
      <c r="C24" s="1" t="s">
        <v>91</v>
      </c>
      <c r="D24" s="1">
        <v>77.0</v>
      </c>
      <c r="E24" s="1" t="s">
        <v>18</v>
      </c>
      <c r="F24" s="1">
        <v>11199.0</v>
      </c>
      <c r="G24" s="1">
        <v>140350.0</v>
      </c>
      <c r="H24" s="1">
        <v>133178.0</v>
      </c>
      <c r="I24" s="7">
        <f>IFERROR(__xludf.DUMMYFUNCTION("SPLIT(B24,""T""""Z"")"),42250.0)</f>
        <v>42250</v>
      </c>
      <c r="J24" s="8">
        <f>IFERROR(__xludf.DUMMYFUNCTION("""COMPUTED_VALUE"""),0.8497453703703703)</f>
        <v>0.8497453704</v>
      </c>
      <c r="K24" s="9">
        <f t="shared" si="1"/>
        <v>6</v>
      </c>
      <c r="L24" s="7">
        <f>IFERROR(__xludf.DUMMYFUNCTION("SPLIT(C24,""T""""Z"")"),44798.0)</f>
        <v>44798</v>
      </c>
      <c r="M24" s="8">
        <f>IFERROR(__xludf.DUMMYFUNCTION("""COMPUTED_VALUE"""),0.6007523148148148)</f>
        <v>0.6007523148</v>
      </c>
      <c r="N24" s="10">
        <f t="shared" si="2"/>
        <v>134.4180556</v>
      </c>
      <c r="O24" s="11">
        <f t="shared" si="3"/>
        <v>0.9488991806</v>
      </c>
    </row>
    <row r="25">
      <c r="A25" s="1" t="s">
        <v>92</v>
      </c>
      <c r="B25" s="1" t="s">
        <v>93</v>
      </c>
      <c r="C25" s="1" t="s">
        <v>94</v>
      </c>
      <c r="D25" s="1">
        <v>0.0</v>
      </c>
      <c r="E25" s="1" t="s">
        <v>95</v>
      </c>
      <c r="F25" s="1">
        <v>706.0</v>
      </c>
      <c r="G25" s="1">
        <v>815.0</v>
      </c>
      <c r="H25" s="1">
        <v>751.0</v>
      </c>
      <c r="I25" s="7">
        <f>IFERROR(__xludf.DUMMYFUNCTION("SPLIT(B25,""T""""Z"")"),43227.0)</f>
        <v>43227</v>
      </c>
      <c r="J25" s="8">
        <f>IFERROR(__xludf.DUMMYFUNCTION("""COMPUTED_VALUE"""),0.5604166666666667)</f>
        <v>0.5604166667</v>
      </c>
      <c r="K25" s="9">
        <f t="shared" si="1"/>
        <v>4</v>
      </c>
      <c r="L25" s="7">
        <f>IFERROR(__xludf.DUMMYFUNCTION("SPLIT(C25,""T""""Z"")"),44798.0)</f>
        <v>44798</v>
      </c>
      <c r="M25" s="8">
        <f>IFERROR(__xludf.DUMMYFUNCTION("""COMPUTED_VALUE"""),0.5340972222222222)</f>
        <v>0.5340972222</v>
      </c>
      <c r="N25" s="10">
        <f t="shared" si="2"/>
        <v>132.8183333</v>
      </c>
      <c r="O25" s="11">
        <f t="shared" si="3"/>
        <v>0.9214723926</v>
      </c>
    </row>
    <row r="26">
      <c r="A26" s="1" t="s">
        <v>96</v>
      </c>
      <c r="B26" s="1" t="s">
        <v>97</v>
      </c>
      <c r="C26" s="1" t="s">
        <v>98</v>
      </c>
      <c r="D26" s="1">
        <v>0.0</v>
      </c>
      <c r="E26" s="1" t="s">
        <v>48</v>
      </c>
      <c r="F26" s="1">
        <v>780.0</v>
      </c>
      <c r="G26" s="1">
        <v>1183.0</v>
      </c>
      <c r="H26" s="1">
        <v>1095.0</v>
      </c>
      <c r="I26" s="7">
        <f>IFERROR(__xludf.DUMMYFUNCTION("SPLIT(B26,""T""""Z"")"),41214.0)</f>
        <v>41214</v>
      </c>
      <c r="J26" s="8">
        <f>IFERROR(__xludf.DUMMYFUNCTION("""COMPUTED_VALUE"""),0.9679398148148148)</f>
        <v>0.9679398148</v>
      </c>
      <c r="K26" s="9">
        <f t="shared" si="1"/>
        <v>9</v>
      </c>
      <c r="L26" s="7">
        <f>IFERROR(__xludf.DUMMYFUNCTION("SPLIT(C26,""T""""Z"")"),44798.0)</f>
        <v>44798</v>
      </c>
      <c r="M26" s="8">
        <f>IFERROR(__xludf.DUMMYFUNCTION("""COMPUTED_VALUE"""),0.5948148148148148)</f>
        <v>0.5948148148</v>
      </c>
      <c r="N26" s="10">
        <f t="shared" si="2"/>
        <v>134.2755556</v>
      </c>
      <c r="O26" s="11">
        <f t="shared" si="3"/>
        <v>0.9256128487</v>
      </c>
    </row>
    <row r="27">
      <c r="A27" s="1" t="s">
        <v>99</v>
      </c>
      <c r="B27" s="1" t="s">
        <v>100</v>
      </c>
      <c r="C27" s="1" t="s">
        <v>101</v>
      </c>
      <c r="D27" s="1">
        <v>0.0</v>
      </c>
      <c r="E27" s="1" t="s">
        <v>38</v>
      </c>
      <c r="F27" s="1">
        <v>12.0</v>
      </c>
      <c r="G27" s="1">
        <v>572.0</v>
      </c>
      <c r="H27" s="1">
        <v>94.0</v>
      </c>
      <c r="I27" s="7">
        <f>IFERROR(__xludf.DUMMYFUNCTION("SPLIT(B27,""T""""Z"")"),43160.0)</f>
        <v>43160</v>
      </c>
      <c r="J27" s="8">
        <f>IFERROR(__xludf.DUMMYFUNCTION("""COMPUTED_VALUE"""),0.6707407407407407)</f>
        <v>0.6707407407</v>
      </c>
      <c r="K27" s="9">
        <f t="shared" si="1"/>
        <v>4</v>
      </c>
      <c r="L27" s="7">
        <f>IFERROR(__xludf.DUMMYFUNCTION("SPLIT(C27,""T""""Z"")"),44798.0)</f>
        <v>44798</v>
      </c>
      <c r="M27" s="8">
        <f>IFERROR(__xludf.DUMMYFUNCTION("""COMPUTED_VALUE"""),0.6004398148148148)</f>
        <v>0.6004398148</v>
      </c>
      <c r="N27" s="10">
        <f t="shared" si="2"/>
        <v>134.4105556</v>
      </c>
      <c r="O27" s="11">
        <f t="shared" si="3"/>
        <v>0.1643356643</v>
      </c>
    </row>
    <row r="28">
      <c r="A28" s="1" t="s">
        <v>102</v>
      </c>
      <c r="B28" s="1" t="s">
        <v>103</v>
      </c>
      <c r="C28" s="1" t="s">
        <v>104</v>
      </c>
      <c r="D28" s="1">
        <v>0.0</v>
      </c>
      <c r="E28" s="13" t="s">
        <v>22</v>
      </c>
      <c r="F28" s="1">
        <v>221.0</v>
      </c>
      <c r="G28" s="1">
        <v>575.0</v>
      </c>
      <c r="H28" s="1">
        <v>568.0</v>
      </c>
      <c r="I28" s="7">
        <f>IFERROR(__xludf.DUMMYFUNCTION("SPLIT(B28,""T""""Z"")"),41763.0)</f>
        <v>41763</v>
      </c>
      <c r="J28" s="8">
        <f>IFERROR(__xludf.DUMMYFUNCTION("""COMPUTED_VALUE"""),0.012951388888888889)</f>
        <v>0.01295138889</v>
      </c>
      <c r="K28" s="9">
        <f t="shared" si="1"/>
        <v>8</v>
      </c>
      <c r="L28" s="7">
        <f>IFERROR(__xludf.DUMMYFUNCTION("SPLIT(C28,""T""""Z"")"),44798.0)</f>
        <v>44798</v>
      </c>
      <c r="M28" s="8">
        <f>IFERROR(__xludf.DUMMYFUNCTION("""COMPUTED_VALUE"""),0.6039236111111111)</f>
        <v>0.6039236111</v>
      </c>
      <c r="N28" s="12">
        <f t="shared" si="2"/>
        <v>134.4941667</v>
      </c>
      <c r="O28" s="11">
        <f t="shared" si="3"/>
        <v>0.987826087</v>
      </c>
    </row>
    <row r="29">
      <c r="A29" s="1" t="s">
        <v>105</v>
      </c>
      <c r="B29" s="1" t="s">
        <v>106</v>
      </c>
      <c r="C29" s="1" t="s">
        <v>107</v>
      </c>
      <c r="D29" s="1">
        <v>341.0</v>
      </c>
      <c r="E29" s="1" t="s">
        <v>38</v>
      </c>
      <c r="F29" s="1">
        <v>1571.0</v>
      </c>
      <c r="G29" s="1">
        <v>25145.0</v>
      </c>
      <c r="H29" s="1">
        <v>21283.0</v>
      </c>
      <c r="I29" s="7">
        <f>IFERROR(__xludf.DUMMYFUNCTION("SPLIT(B29,""T""""Z"")"),40482.0)</f>
        <v>40482</v>
      </c>
      <c r="J29" s="8">
        <f>IFERROR(__xludf.DUMMYFUNCTION("""COMPUTED_VALUE"""),0.6077199074074074)</f>
        <v>0.6077199074</v>
      </c>
      <c r="K29" s="9">
        <f t="shared" si="1"/>
        <v>11</v>
      </c>
      <c r="L29" s="7">
        <f>IFERROR(__xludf.DUMMYFUNCTION("SPLIT(C29,""T""""Z"")"),44798.0)</f>
        <v>44798</v>
      </c>
      <c r="M29" s="8">
        <f>IFERROR(__xludf.DUMMYFUNCTION("""COMPUTED_VALUE"""),0.5981481481481481)</f>
        <v>0.5981481481</v>
      </c>
      <c r="N29" s="10">
        <f t="shared" si="2"/>
        <v>134.3555556</v>
      </c>
      <c r="O29" s="11">
        <f t="shared" si="3"/>
        <v>0.8464108173</v>
      </c>
    </row>
    <row r="30">
      <c r="A30" s="1" t="s">
        <v>108</v>
      </c>
      <c r="B30" s="1" t="s">
        <v>109</v>
      </c>
      <c r="C30" s="1" t="s">
        <v>110</v>
      </c>
      <c r="D30" s="1">
        <v>1.0</v>
      </c>
      <c r="E30" s="1" t="s">
        <v>111</v>
      </c>
      <c r="F30" s="1">
        <v>207.0</v>
      </c>
      <c r="G30" s="1">
        <v>483.0</v>
      </c>
      <c r="H30" s="1">
        <v>314.0</v>
      </c>
      <c r="I30" s="7">
        <f>IFERROR(__xludf.DUMMYFUNCTION("SPLIT(B30,""T""""Z"")"),43880.0)</f>
        <v>43880</v>
      </c>
      <c r="J30" s="8">
        <f>IFERROR(__xludf.DUMMYFUNCTION("""COMPUTED_VALUE"""),0.37596064814814817)</f>
        <v>0.3759606481</v>
      </c>
      <c r="K30" s="9">
        <f t="shared" si="1"/>
        <v>2</v>
      </c>
      <c r="L30" s="7">
        <f>IFERROR(__xludf.DUMMYFUNCTION("SPLIT(C30,""T""""Z"")"),44798.0)</f>
        <v>44798</v>
      </c>
      <c r="M30" s="8">
        <f>IFERROR(__xludf.DUMMYFUNCTION("""COMPUTED_VALUE"""),0.5556018518518518)</f>
        <v>0.5556018519</v>
      </c>
      <c r="N30" s="10">
        <f t="shared" si="2"/>
        <v>133.3344444</v>
      </c>
      <c r="O30" s="11">
        <f t="shared" si="3"/>
        <v>0.6501035197</v>
      </c>
    </row>
    <row r="31">
      <c r="A31" s="1" t="s">
        <v>112</v>
      </c>
      <c r="B31" s="1" t="s">
        <v>113</v>
      </c>
      <c r="C31" s="1" t="s">
        <v>114</v>
      </c>
      <c r="D31" s="1">
        <v>0.0</v>
      </c>
      <c r="E31" s="13" t="s">
        <v>22</v>
      </c>
      <c r="F31" s="1">
        <v>304.0</v>
      </c>
      <c r="G31" s="1">
        <v>209.0</v>
      </c>
      <c r="H31" s="1">
        <v>116.0</v>
      </c>
      <c r="I31" s="7">
        <f>IFERROR(__xludf.DUMMYFUNCTION("SPLIT(B31,""T""""Z"")"),42144.0)</f>
        <v>42144</v>
      </c>
      <c r="J31" s="8">
        <f>IFERROR(__xludf.DUMMYFUNCTION("""COMPUTED_VALUE"""),0.6326736111111111)</f>
        <v>0.6326736111</v>
      </c>
      <c r="K31" s="9">
        <f t="shared" si="1"/>
        <v>7</v>
      </c>
      <c r="L31" s="7">
        <f>IFERROR(__xludf.DUMMYFUNCTION("SPLIT(C31,""T""""Z"")"),44798.0)</f>
        <v>44798</v>
      </c>
      <c r="M31" s="8">
        <f>IFERROR(__xludf.DUMMYFUNCTION("""COMPUTED_VALUE"""),0.5986689814814815)</f>
        <v>0.5986689815</v>
      </c>
      <c r="N31" s="12">
        <f t="shared" si="2"/>
        <v>134.3680556</v>
      </c>
      <c r="O31" s="11">
        <f t="shared" si="3"/>
        <v>0.5550239234</v>
      </c>
    </row>
    <row r="32">
      <c r="A32" s="1" t="s">
        <v>115</v>
      </c>
      <c r="B32" s="1" t="s">
        <v>116</v>
      </c>
      <c r="C32" s="1" t="s">
        <v>117</v>
      </c>
      <c r="D32" s="1">
        <v>210.0</v>
      </c>
      <c r="E32" s="1" t="s">
        <v>48</v>
      </c>
      <c r="F32" s="1">
        <v>646.0</v>
      </c>
      <c r="G32" s="1">
        <v>23080.0</v>
      </c>
      <c r="H32" s="1">
        <v>21181.0</v>
      </c>
      <c r="I32" s="7">
        <f>IFERROR(__xludf.DUMMYFUNCTION("SPLIT(B32,""T""""Z"")"),42013.0)</f>
        <v>42013</v>
      </c>
      <c r="J32" s="8">
        <f>IFERROR(__xludf.DUMMYFUNCTION("""COMPUTED_VALUE"""),0.7571296296296296)</f>
        <v>0.7571296296</v>
      </c>
      <c r="K32" s="9">
        <f t="shared" si="1"/>
        <v>7</v>
      </c>
      <c r="L32" s="7">
        <f>IFERROR(__xludf.DUMMYFUNCTION("SPLIT(C32,""T""""Z"")"),44798.0)</f>
        <v>44798</v>
      </c>
      <c r="M32" s="8">
        <f>IFERROR(__xludf.DUMMYFUNCTION("""COMPUTED_VALUE"""),0.609224537037037)</f>
        <v>0.609224537</v>
      </c>
      <c r="N32" s="10">
        <f t="shared" si="2"/>
        <v>134.6213889</v>
      </c>
      <c r="O32" s="11">
        <f t="shared" si="3"/>
        <v>0.9177209705</v>
      </c>
    </row>
    <row r="33">
      <c r="A33" s="1" t="s">
        <v>118</v>
      </c>
      <c r="B33" s="1" t="s">
        <v>119</v>
      </c>
      <c r="C33" s="1" t="s">
        <v>120</v>
      </c>
      <c r="D33" s="1">
        <v>1036.0</v>
      </c>
      <c r="E33" s="1" t="s">
        <v>52</v>
      </c>
      <c r="F33" s="1">
        <v>15497.0</v>
      </c>
      <c r="G33" s="1">
        <v>17356.0</v>
      </c>
      <c r="H33" s="1">
        <v>15761.0</v>
      </c>
      <c r="I33" s="7">
        <f>IFERROR(__xludf.DUMMYFUNCTION("SPLIT(B33,""T""""Z"")"),41376.0)</f>
        <v>41376</v>
      </c>
      <c r="J33" s="8">
        <f>IFERROR(__xludf.DUMMYFUNCTION("""COMPUTED_VALUE"""),0.07472222222222222)</f>
        <v>0.07472222222</v>
      </c>
      <c r="K33" s="9">
        <f t="shared" si="1"/>
        <v>9</v>
      </c>
      <c r="L33" s="7">
        <f>IFERROR(__xludf.DUMMYFUNCTION("SPLIT(C33,""T""""Z"")"),44798.0)</f>
        <v>44798</v>
      </c>
      <c r="M33" s="8">
        <f>IFERROR(__xludf.DUMMYFUNCTION("""COMPUTED_VALUE"""),0.5870023148148148)</f>
        <v>0.5870023148</v>
      </c>
      <c r="N33" s="10">
        <f t="shared" si="2"/>
        <v>134.0880556</v>
      </c>
      <c r="O33" s="11">
        <f t="shared" si="3"/>
        <v>0.9081009449</v>
      </c>
    </row>
    <row r="34">
      <c r="A34" s="1" t="s">
        <v>121</v>
      </c>
      <c r="B34" s="1" t="s">
        <v>122</v>
      </c>
      <c r="C34" s="1" t="s">
        <v>123</v>
      </c>
      <c r="D34" s="1">
        <v>0.0</v>
      </c>
      <c r="E34" s="1" t="s">
        <v>124</v>
      </c>
      <c r="F34" s="1">
        <v>1.0</v>
      </c>
      <c r="G34" s="1">
        <v>51635.0</v>
      </c>
      <c r="H34" s="1">
        <v>44067.0</v>
      </c>
      <c r="I34" s="7">
        <f>IFERROR(__xludf.DUMMYFUNCTION("SPLIT(B34,""T""""Z"")"),41870.0)</f>
        <v>41870</v>
      </c>
      <c r="J34" s="8">
        <f>IFERROR(__xludf.DUMMYFUNCTION("""COMPUTED_VALUE"""),0.1900462962962963)</f>
        <v>0.1900462963</v>
      </c>
      <c r="K34" s="9">
        <f t="shared" si="1"/>
        <v>8</v>
      </c>
      <c r="L34" s="7">
        <f>IFERROR(__xludf.DUMMYFUNCTION("SPLIT(C34,""T""""Z"")"),44798.0)</f>
        <v>44798</v>
      </c>
      <c r="M34" s="8">
        <f>IFERROR(__xludf.DUMMYFUNCTION("""COMPUTED_VALUE"""),0.603738425925926)</f>
        <v>0.6037384259</v>
      </c>
      <c r="N34" s="10">
        <f t="shared" si="2"/>
        <v>134.4897222</v>
      </c>
      <c r="O34" s="11">
        <f t="shared" si="3"/>
        <v>0.8534327491</v>
      </c>
    </row>
    <row r="35">
      <c r="A35" s="1" t="s">
        <v>125</v>
      </c>
      <c r="B35" s="1" t="s">
        <v>126</v>
      </c>
      <c r="C35" s="1" t="s">
        <v>127</v>
      </c>
      <c r="D35" s="1">
        <v>186.0</v>
      </c>
      <c r="E35" s="1" t="s">
        <v>48</v>
      </c>
      <c r="F35" s="1">
        <v>439.0</v>
      </c>
      <c r="G35" s="1">
        <v>2111.0</v>
      </c>
      <c r="H35" s="1">
        <v>2108.0</v>
      </c>
      <c r="I35" s="7">
        <f>IFERROR(__xludf.DUMMYFUNCTION("SPLIT(B35,""T""""Z"")"),40448.0)</f>
        <v>40448</v>
      </c>
      <c r="J35" s="8">
        <f>IFERROR(__xludf.DUMMYFUNCTION("""COMPUTED_VALUE"""),0.7240972222222222)</f>
        <v>0.7240972222</v>
      </c>
      <c r="K35" s="9">
        <f t="shared" si="1"/>
        <v>11</v>
      </c>
      <c r="L35" s="7">
        <f>IFERROR(__xludf.DUMMYFUNCTION("SPLIT(C35,""T""""Z"")"),44798.0)</f>
        <v>44798</v>
      </c>
      <c r="M35" s="8">
        <f>IFERROR(__xludf.DUMMYFUNCTION("""COMPUTED_VALUE"""),0.6068402777777778)</f>
        <v>0.6068402778</v>
      </c>
      <c r="N35" s="10">
        <f t="shared" si="2"/>
        <v>134.5641667</v>
      </c>
      <c r="O35" s="11">
        <f t="shared" si="3"/>
        <v>0.9985788726</v>
      </c>
    </row>
    <row r="36">
      <c r="A36" s="1" t="s">
        <v>128</v>
      </c>
      <c r="B36" s="1" t="s">
        <v>129</v>
      </c>
      <c r="C36" s="1" t="s">
        <v>130</v>
      </c>
      <c r="D36" s="1">
        <v>4.0</v>
      </c>
      <c r="E36" s="1" t="s">
        <v>48</v>
      </c>
      <c r="F36" s="1">
        <v>752.0</v>
      </c>
      <c r="G36" s="1">
        <v>277.0</v>
      </c>
      <c r="H36" s="1">
        <v>277.0</v>
      </c>
      <c r="I36" s="7">
        <f>IFERROR(__xludf.DUMMYFUNCTION("SPLIT(B36,""T""""Z"")"),43068.0)</f>
        <v>43068</v>
      </c>
      <c r="J36" s="8">
        <f>IFERROR(__xludf.DUMMYFUNCTION("""COMPUTED_VALUE"""),0.7326736111111111)</f>
        <v>0.7326736111</v>
      </c>
      <c r="K36" s="9">
        <f t="shared" si="1"/>
        <v>4</v>
      </c>
      <c r="L36" s="7">
        <f>IFERROR(__xludf.DUMMYFUNCTION("SPLIT(C36,""T""""Z"")"),44798.0)</f>
        <v>44798</v>
      </c>
      <c r="M36" s="8">
        <f>IFERROR(__xludf.DUMMYFUNCTION("""COMPUTED_VALUE"""),0.5935763888888889)</f>
        <v>0.5935763889</v>
      </c>
      <c r="N36" s="10">
        <f t="shared" si="2"/>
        <v>134.2458333</v>
      </c>
      <c r="O36" s="11">
        <f t="shared" si="3"/>
        <v>1</v>
      </c>
    </row>
    <row r="37">
      <c r="A37" s="1" t="s">
        <v>131</v>
      </c>
      <c r="B37" s="1" t="s">
        <v>132</v>
      </c>
      <c r="C37" s="1" t="s">
        <v>133</v>
      </c>
      <c r="D37" s="1">
        <v>0.0</v>
      </c>
      <c r="E37" s="1" t="s">
        <v>48</v>
      </c>
      <c r="F37" s="1">
        <v>1908.0</v>
      </c>
      <c r="G37" s="1">
        <v>712.0</v>
      </c>
      <c r="H37" s="1">
        <v>635.0</v>
      </c>
      <c r="I37" s="7">
        <f>IFERROR(__xludf.DUMMYFUNCTION("SPLIT(B37,""T""""Z"")"),42156.0)</f>
        <v>42156</v>
      </c>
      <c r="J37" s="8">
        <f>IFERROR(__xludf.DUMMYFUNCTION("""COMPUTED_VALUE"""),0.10644675925925925)</f>
        <v>0.1064467593</v>
      </c>
      <c r="K37" s="9">
        <f t="shared" si="1"/>
        <v>7</v>
      </c>
      <c r="L37" s="7">
        <f>IFERROR(__xludf.DUMMYFUNCTION("SPLIT(C37,""T""""Z"")"),44798.0)</f>
        <v>44798</v>
      </c>
      <c r="M37" s="8">
        <f>IFERROR(__xludf.DUMMYFUNCTION("""COMPUTED_VALUE"""),0.6072222222222222)</f>
        <v>0.6072222222</v>
      </c>
      <c r="N37" s="10">
        <f t="shared" si="2"/>
        <v>134.5733333</v>
      </c>
      <c r="O37" s="11">
        <f t="shared" si="3"/>
        <v>0.8918539326</v>
      </c>
    </row>
    <row r="38">
      <c r="A38" s="1" t="s">
        <v>134</v>
      </c>
      <c r="B38" s="1" t="s">
        <v>135</v>
      </c>
      <c r="C38" s="1" t="s">
        <v>136</v>
      </c>
      <c r="D38" s="1">
        <v>83.0</v>
      </c>
      <c r="E38" s="1" t="s">
        <v>48</v>
      </c>
      <c r="F38" s="1">
        <v>1941.0</v>
      </c>
      <c r="G38" s="1">
        <v>7830.0</v>
      </c>
      <c r="H38" s="1">
        <v>6414.0</v>
      </c>
      <c r="I38" s="7">
        <f>IFERROR(__xludf.DUMMYFUNCTION("SPLIT(B38,""T""""Z"")"),42568.0)</f>
        <v>42568</v>
      </c>
      <c r="J38" s="8">
        <f>IFERROR(__xludf.DUMMYFUNCTION("""COMPUTED_VALUE"""),0.6216550925925926)</f>
        <v>0.6216550926</v>
      </c>
      <c r="K38" s="9">
        <f t="shared" si="1"/>
        <v>6</v>
      </c>
      <c r="L38" s="7">
        <f>IFERROR(__xludf.DUMMYFUNCTION("SPLIT(C38,""T""""Z"")"),44798.0)</f>
        <v>44798</v>
      </c>
      <c r="M38" s="8">
        <f>IFERROR(__xludf.DUMMYFUNCTION("""COMPUTED_VALUE"""),0.5882291666666667)</f>
        <v>0.5882291667</v>
      </c>
      <c r="N38" s="10">
        <f t="shared" si="2"/>
        <v>134.1175</v>
      </c>
      <c r="O38" s="11">
        <f t="shared" si="3"/>
        <v>0.8191570881</v>
      </c>
    </row>
    <row r="39">
      <c r="A39" s="1" t="s">
        <v>137</v>
      </c>
      <c r="B39" s="1" t="s">
        <v>138</v>
      </c>
      <c r="C39" s="1" t="s">
        <v>139</v>
      </c>
      <c r="D39" s="1">
        <v>39.0</v>
      </c>
      <c r="E39" s="1" t="s">
        <v>48</v>
      </c>
      <c r="F39" s="1">
        <v>578.0</v>
      </c>
      <c r="G39" s="1">
        <v>3752.0</v>
      </c>
      <c r="H39" s="1">
        <v>3609.0</v>
      </c>
      <c r="I39" s="7">
        <f>IFERROR(__xludf.DUMMYFUNCTION("SPLIT(B39,""T""""Z"")"),41869.0)</f>
        <v>41869</v>
      </c>
      <c r="J39" s="8">
        <f>IFERROR(__xludf.DUMMYFUNCTION("""COMPUTED_VALUE"""),0.9378125)</f>
        <v>0.9378125</v>
      </c>
      <c r="K39" s="9">
        <f t="shared" si="1"/>
        <v>8</v>
      </c>
      <c r="L39" s="7">
        <f>IFERROR(__xludf.DUMMYFUNCTION("SPLIT(C39,""T""""Z"")"),44798.0)</f>
        <v>44798</v>
      </c>
      <c r="M39" s="8">
        <f>IFERROR(__xludf.DUMMYFUNCTION("""COMPUTED_VALUE"""),0.5857291666666666)</f>
        <v>0.5857291667</v>
      </c>
      <c r="N39" s="10">
        <f t="shared" si="2"/>
        <v>134.0575</v>
      </c>
      <c r="O39" s="11">
        <f t="shared" si="3"/>
        <v>0.9618869936</v>
      </c>
    </row>
    <row r="40">
      <c r="A40" s="1" t="s">
        <v>140</v>
      </c>
      <c r="B40" s="1" t="s">
        <v>141</v>
      </c>
      <c r="C40" s="1" t="s">
        <v>142</v>
      </c>
      <c r="D40" s="1">
        <v>3.0</v>
      </c>
      <c r="E40" s="13" t="s">
        <v>22</v>
      </c>
      <c r="F40" s="1">
        <v>280.0</v>
      </c>
      <c r="G40" s="1">
        <v>0.0</v>
      </c>
      <c r="H40" s="1">
        <v>0.0</v>
      </c>
      <c r="I40" s="7">
        <f>IFERROR(__xludf.DUMMYFUNCTION("SPLIT(B40,""T""""Z"")"),41582.0)</f>
        <v>41582</v>
      </c>
      <c r="J40" s="8">
        <f>IFERROR(__xludf.DUMMYFUNCTION("""COMPUTED_VALUE"""),0.08285879629629629)</f>
        <v>0.0828587963</v>
      </c>
      <c r="K40" s="9">
        <f t="shared" si="1"/>
        <v>8</v>
      </c>
      <c r="L40" s="7">
        <f>IFERROR(__xludf.DUMMYFUNCTION("SPLIT(C40,""T""""Z"")"),44798.0)</f>
        <v>44798</v>
      </c>
      <c r="M40" s="8">
        <f>IFERROR(__xludf.DUMMYFUNCTION("""COMPUTED_VALUE"""),0.5772916666666666)</f>
        <v>0.5772916667</v>
      </c>
      <c r="N40" s="12">
        <f t="shared" si="2"/>
        <v>133.855</v>
      </c>
      <c r="O40" s="11">
        <f t="shared" si="3"/>
        <v>0</v>
      </c>
    </row>
    <row r="41">
      <c r="A41" s="1" t="s">
        <v>143</v>
      </c>
      <c r="B41" s="1" t="s">
        <v>144</v>
      </c>
      <c r="C41" s="1" t="s">
        <v>145</v>
      </c>
      <c r="D41" s="1">
        <v>1530.0</v>
      </c>
      <c r="E41" s="1" t="s">
        <v>48</v>
      </c>
      <c r="F41" s="1">
        <v>9741.0</v>
      </c>
      <c r="G41" s="1">
        <v>13410.0</v>
      </c>
      <c r="H41" s="1">
        <v>12310.0</v>
      </c>
      <c r="I41" s="7">
        <f>IFERROR(__xludf.DUMMYFUNCTION("SPLIT(B41,""T""""Z"")"),42648.0)</f>
        <v>42648</v>
      </c>
      <c r="J41" s="8">
        <f>IFERROR(__xludf.DUMMYFUNCTION("""COMPUTED_VALUE"""),0.9811458333333334)</f>
        <v>0.9811458333</v>
      </c>
      <c r="K41" s="9">
        <f t="shared" si="1"/>
        <v>5</v>
      </c>
      <c r="L41" s="7">
        <f>IFERROR(__xludf.DUMMYFUNCTION("SPLIT(C41,""T""""Z"")"),44798.0)</f>
        <v>44798</v>
      </c>
      <c r="M41" s="8">
        <f>IFERROR(__xludf.DUMMYFUNCTION("""COMPUTED_VALUE"""),0.6043055555555555)</f>
        <v>0.6043055556</v>
      </c>
      <c r="N41" s="10">
        <f t="shared" si="2"/>
        <v>134.5033333</v>
      </c>
      <c r="O41" s="11">
        <f t="shared" si="3"/>
        <v>0.9179716629</v>
      </c>
    </row>
    <row r="42">
      <c r="A42" s="1" t="s">
        <v>146</v>
      </c>
      <c r="B42" s="1" t="s">
        <v>147</v>
      </c>
      <c r="C42" s="1" t="s">
        <v>148</v>
      </c>
      <c r="D42" s="1">
        <v>550.0</v>
      </c>
      <c r="E42" s="1" t="s">
        <v>124</v>
      </c>
      <c r="F42" s="1">
        <v>52297.0</v>
      </c>
      <c r="G42" s="1">
        <v>41443.0</v>
      </c>
      <c r="H42" s="1">
        <v>39814.0</v>
      </c>
      <c r="I42" s="7">
        <f>IFERROR(__xludf.DUMMYFUNCTION("SPLIT(B42,""T""""Z"")"),41796.0)</f>
        <v>41796</v>
      </c>
      <c r="J42" s="8">
        <f>IFERROR(__xludf.DUMMYFUNCTION("""COMPUTED_VALUE"""),0.9556018518518519)</f>
        <v>0.9556018519</v>
      </c>
      <c r="K42" s="9">
        <f t="shared" si="1"/>
        <v>8</v>
      </c>
      <c r="L42" s="7">
        <f>IFERROR(__xludf.DUMMYFUNCTION("SPLIT(C42,""T""""Z"")"),44798.0)</f>
        <v>44798</v>
      </c>
      <c r="M42" s="8">
        <f>IFERROR(__xludf.DUMMYFUNCTION("""COMPUTED_VALUE"""),0.5824652777777778)</f>
        <v>0.5824652778</v>
      </c>
      <c r="N42" s="10">
        <f t="shared" si="2"/>
        <v>133.9791667</v>
      </c>
      <c r="O42" s="11">
        <f t="shared" si="3"/>
        <v>0.960693</v>
      </c>
    </row>
    <row r="43">
      <c r="A43" s="1" t="s">
        <v>149</v>
      </c>
      <c r="B43" s="1" t="s">
        <v>150</v>
      </c>
      <c r="C43" s="1" t="s">
        <v>151</v>
      </c>
      <c r="D43" s="1">
        <v>303.0</v>
      </c>
      <c r="E43" s="1" t="s">
        <v>48</v>
      </c>
      <c r="F43" s="1">
        <v>4690.0</v>
      </c>
      <c r="G43" s="1">
        <v>14913.0</v>
      </c>
      <c r="H43" s="1">
        <v>13616.0</v>
      </c>
      <c r="I43" s="7">
        <f>IFERROR(__xludf.DUMMYFUNCTION("SPLIT(B43,""T""""Z"")"),41969.0)</f>
        <v>41969</v>
      </c>
      <c r="J43" s="8">
        <f>IFERROR(__xludf.DUMMYFUNCTION("""COMPUTED_VALUE"""),0.8313773148148148)</f>
        <v>0.8313773148</v>
      </c>
      <c r="K43" s="9">
        <f t="shared" si="1"/>
        <v>7</v>
      </c>
      <c r="L43" s="7">
        <f>IFERROR(__xludf.DUMMYFUNCTION("SPLIT(C43,""T""""Z"")"),44798.0)</f>
        <v>44798</v>
      </c>
      <c r="M43" s="8">
        <f>IFERROR(__xludf.DUMMYFUNCTION("""COMPUTED_VALUE"""),0.6024884259259259)</f>
        <v>0.6024884259</v>
      </c>
      <c r="N43" s="10">
        <f t="shared" si="2"/>
        <v>134.4597222</v>
      </c>
      <c r="O43" s="11">
        <f t="shared" si="3"/>
        <v>0.913028901</v>
      </c>
    </row>
    <row r="44">
      <c r="A44" s="1" t="s">
        <v>152</v>
      </c>
      <c r="B44" s="1" t="s">
        <v>153</v>
      </c>
      <c r="C44" s="1" t="s">
        <v>154</v>
      </c>
      <c r="D44" s="1">
        <v>0.0</v>
      </c>
      <c r="E44" s="1" t="s">
        <v>124</v>
      </c>
      <c r="F44" s="1">
        <v>2794.0</v>
      </c>
      <c r="G44" s="1">
        <v>464.0</v>
      </c>
      <c r="H44" s="1">
        <v>452.0</v>
      </c>
      <c r="I44" s="7">
        <f>IFERROR(__xludf.DUMMYFUNCTION("SPLIT(B44,""T""""Z"")"),41826.0)</f>
        <v>41826</v>
      </c>
      <c r="J44" s="8">
        <f>IFERROR(__xludf.DUMMYFUNCTION("""COMPUTED_VALUE"""),0.5710069444444444)</f>
        <v>0.5710069444</v>
      </c>
      <c r="K44" s="9">
        <f t="shared" si="1"/>
        <v>8</v>
      </c>
      <c r="L44" s="7">
        <f>IFERROR(__xludf.DUMMYFUNCTION("SPLIT(C44,""T""""Z"")"),44798.0)</f>
        <v>44798</v>
      </c>
      <c r="M44" s="8">
        <f>IFERROR(__xludf.DUMMYFUNCTION("""COMPUTED_VALUE"""),0.6072569444444444)</f>
        <v>0.6072569444</v>
      </c>
      <c r="N44" s="10">
        <f t="shared" si="2"/>
        <v>134.5741667</v>
      </c>
      <c r="O44" s="11">
        <f t="shared" si="3"/>
        <v>0.974137931</v>
      </c>
    </row>
    <row r="45">
      <c r="A45" s="1" t="s">
        <v>155</v>
      </c>
      <c r="B45" s="1" t="s">
        <v>156</v>
      </c>
      <c r="C45" s="1" t="s">
        <v>157</v>
      </c>
      <c r="D45" s="1">
        <v>80.0</v>
      </c>
      <c r="E45" s="1" t="s">
        <v>52</v>
      </c>
      <c r="F45" s="1">
        <v>2820.0</v>
      </c>
      <c r="G45" s="1">
        <v>10363.0</v>
      </c>
      <c r="H45" s="1">
        <v>8916.0</v>
      </c>
      <c r="I45" s="7">
        <f>IFERROR(__xludf.DUMMYFUNCTION("SPLIT(B45,""T""""Z"")"),42958.0)</f>
        <v>42958</v>
      </c>
      <c r="J45" s="8">
        <f>IFERROR(__xludf.DUMMYFUNCTION("""COMPUTED_VALUE"""),0.7766435185185185)</f>
        <v>0.7766435185</v>
      </c>
      <c r="K45" s="9">
        <f t="shared" si="1"/>
        <v>5</v>
      </c>
      <c r="L45" s="7">
        <f>IFERROR(__xludf.DUMMYFUNCTION("SPLIT(C45,""T""""Z"")"),44798.0)</f>
        <v>44798</v>
      </c>
      <c r="M45" s="8">
        <f>IFERROR(__xludf.DUMMYFUNCTION("""COMPUTED_VALUE"""),0.5883564814814815)</f>
        <v>0.5883564815</v>
      </c>
      <c r="N45" s="10">
        <f t="shared" si="2"/>
        <v>134.1205556</v>
      </c>
      <c r="O45" s="11">
        <f t="shared" si="3"/>
        <v>0.8603686191</v>
      </c>
    </row>
    <row r="46">
      <c r="A46" s="1" t="s">
        <v>158</v>
      </c>
      <c r="B46" s="1" t="s">
        <v>159</v>
      </c>
      <c r="C46" s="1" t="s">
        <v>160</v>
      </c>
      <c r="D46" s="1">
        <v>190.0</v>
      </c>
      <c r="E46" s="1" t="s">
        <v>161</v>
      </c>
      <c r="F46" s="1">
        <v>6810.0</v>
      </c>
      <c r="G46" s="1">
        <v>6332.0</v>
      </c>
      <c r="H46" s="1">
        <v>5425.0</v>
      </c>
      <c r="I46" s="7">
        <f>IFERROR(__xludf.DUMMYFUNCTION("SPLIT(B46,""T""""Z"")"),43235.0)</f>
        <v>43235</v>
      </c>
      <c r="J46" s="8">
        <f>IFERROR(__xludf.DUMMYFUNCTION("""COMPUTED_VALUE"""),0.06557870370370371)</f>
        <v>0.0655787037</v>
      </c>
      <c r="K46" s="9">
        <f t="shared" si="1"/>
        <v>4</v>
      </c>
      <c r="L46" s="7">
        <f>IFERROR(__xludf.DUMMYFUNCTION("SPLIT(C46,""T""""Z"")"),44798.0)</f>
        <v>44798</v>
      </c>
      <c r="M46" s="8">
        <f>IFERROR(__xludf.DUMMYFUNCTION("""COMPUTED_VALUE"""),0.6047337962962963)</f>
        <v>0.6047337963</v>
      </c>
      <c r="N46" s="10">
        <f t="shared" si="2"/>
        <v>134.5136111</v>
      </c>
      <c r="O46" s="11">
        <f t="shared" si="3"/>
        <v>0.8567593178</v>
      </c>
    </row>
    <row r="47">
      <c r="A47" s="1" t="s">
        <v>162</v>
      </c>
      <c r="B47" s="1" t="s">
        <v>163</v>
      </c>
      <c r="C47" s="1" t="s">
        <v>164</v>
      </c>
      <c r="D47" s="1">
        <v>135.0</v>
      </c>
      <c r="E47" s="1" t="s">
        <v>48</v>
      </c>
      <c r="F47" s="1">
        <v>9937.0</v>
      </c>
      <c r="G47" s="1">
        <v>11272.0</v>
      </c>
      <c r="H47" s="1">
        <v>10918.0</v>
      </c>
      <c r="I47" s="7">
        <f>IFERROR(__xludf.DUMMYFUNCTION("SPLIT(B47,""T""""Z"")"),40260.0)</f>
        <v>40260</v>
      </c>
      <c r="J47" s="8">
        <f>IFERROR(__xludf.DUMMYFUNCTION("""COMPUTED_VALUE"""),0.7902893518518519)</f>
        <v>0.7902893519</v>
      </c>
      <c r="K47" s="9">
        <f t="shared" si="1"/>
        <v>12</v>
      </c>
      <c r="L47" s="7">
        <f>IFERROR(__xludf.DUMMYFUNCTION("SPLIT(C47,""T""""Z"")"),44798.0)</f>
        <v>44798</v>
      </c>
      <c r="M47" s="8">
        <f>IFERROR(__xludf.DUMMYFUNCTION("""COMPUTED_VALUE"""),0.5946643518518518)</f>
        <v>0.5946643519</v>
      </c>
      <c r="N47" s="10">
        <f t="shared" si="2"/>
        <v>134.2719444</v>
      </c>
      <c r="O47" s="11">
        <f t="shared" si="3"/>
        <v>0.968594748</v>
      </c>
    </row>
    <row r="48">
      <c r="A48" s="1" t="s">
        <v>165</v>
      </c>
      <c r="B48" s="1" t="s">
        <v>166</v>
      </c>
      <c r="C48" s="1" t="s">
        <v>167</v>
      </c>
      <c r="D48" s="1">
        <v>161.0</v>
      </c>
      <c r="E48" s="1" t="s">
        <v>18</v>
      </c>
      <c r="F48" s="1">
        <v>12082.0</v>
      </c>
      <c r="G48" s="1">
        <v>34566.0</v>
      </c>
      <c r="H48" s="1">
        <v>29070.0</v>
      </c>
      <c r="I48" s="7">
        <f>IFERROR(__xludf.DUMMYFUNCTION("SPLIT(B48,""T""""Z"")"),41807.0)</f>
        <v>41807</v>
      </c>
      <c r="J48" s="8">
        <f>IFERROR(__xludf.DUMMYFUNCTION("""COMPUTED_VALUE"""),0.6448958333333333)</f>
        <v>0.6448958333</v>
      </c>
      <c r="K48" s="9">
        <f t="shared" si="1"/>
        <v>8</v>
      </c>
      <c r="L48" s="7">
        <f>IFERROR(__xludf.DUMMYFUNCTION("SPLIT(C48,""T""""Z"")"),44798.0)</f>
        <v>44798</v>
      </c>
      <c r="M48" s="8">
        <f>IFERROR(__xludf.DUMMYFUNCTION("""COMPUTED_VALUE"""),0.5945601851851852)</f>
        <v>0.5945601852</v>
      </c>
      <c r="N48" s="10">
        <f t="shared" si="2"/>
        <v>134.2694444</v>
      </c>
      <c r="O48" s="11">
        <f t="shared" si="3"/>
        <v>0.8409998264</v>
      </c>
    </row>
    <row r="49">
      <c r="A49" s="1" t="s">
        <v>168</v>
      </c>
      <c r="B49" s="1" t="s">
        <v>169</v>
      </c>
      <c r="C49" s="1" t="s">
        <v>170</v>
      </c>
      <c r="D49" s="1">
        <v>196.0</v>
      </c>
      <c r="E49" s="1" t="s">
        <v>18</v>
      </c>
      <c r="F49" s="1">
        <v>3183.0</v>
      </c>
      <c r="G49" s="1">
        <v>24274.0</v>
      </c>
      <c r="H49" s="1">
        <v>23167.0</v>
      </c>
      <c r="I49" s="7">
        <f>IFERROR(__xludf.DUMMYFUNCTION("SPLIT(B49,""T""""Z"")"),41900.0)</f>
        <v>41900</v>
      </c>
      <c r="J49" s="8">
        <f>IFERROR(__xludf.DUMMYFUNCTION("""COMPUTED_VALUE"""),0.6750115740740741)</f>
        <v>0.6750115741</v>
      </c>
      <c r="K49" s="9">
        <f t="shared" si="1"/>
        <v>7</v>
      </c>
      <c r="L49" s="7">
        <f>IFERROR(__xludf.DUMMYFUNCTION("SPLIT(C49,""T""""Z"")"),44798.0)</f>
        <v>44798</v>
      </c>
      <c r="M49" s="8">
        <f>IFERROR(__xludf.DUMMYFUNCTION("""COMPUTED_VALUE"""),0.5395717592592593)</f>
        <v>0.5395717593</v>
      </c>
      <c r="N49" s="10">
        <f t="shared" si="2"/>
        <v>132.9497222</v>
      </c>
      <c r="O49" s="11">
        <f t="shared" si="3"/>
        <v>0.9543956497</v>
      </c>
    </row>
    <row r="50">
      <c r="A50" s="1" t="s">
        <v>171</v>
      </c>
      <c r="B50" s="1" t="s">
        <v>172</v>
      </c>
      <c r="C50" s="1" t="s">
        <v>173</v>
      </c>
      <c r="D50" s="1">
        <v>500.0</v>
      </c>
      <c r="E50" s="1" t="s">
        <v>18</v>
      </c>
      <c r="F50" s="1">
        <v>9122.0</v>
      </c>
      <c r="G50" s="1">
        <v>24504.0</v>
      </c>
      <c r="H50" s="1">
        <v>23675.0</v>
      </c>
      <c r="I50" s="7">
        <f>IFERROR(__xludf.DUMMYFUNCTION("SPLIT(B50,""T""""Z"")"),42118.0)</f>
        <v>42118</v>
      </c>
      <c r="J50" s="8">
        <f>IFERROR(__xludf.DUMMYFUNCTION("""COMPUTED_VALUE"""),0.6509722222222222)</f>
        <v>0.6509722222</v>
      </c>
      <c r="K50" s="9">
        <f t="shared" si="1"/>
        <v>7</v>
      </c>
      <c r="L50" s="7">
        <f>IFERROR(__xludf.DUMMYFUNCTION("SPLIT(C50,""T""""Z"")"),44798.0)</f>
        <v>44798</v>
      </c>
      <c r="M50" s="8">
        <f>IFERROR(__xludf.DUMMYFUNCTION("""COMPUTED_VALUE"""),0.5790509259259259)</f>
        <v>0.5790509259</v>
      </c>
      <c r="N50" s="10">
        <f t="shared" si="2"/>
        <v>133.8972222</v>
      </c>
      <c r="O50" s="11">
        <f t="shared" si="3"/>
        <v>0.9661687888</v>
      </c>
    </row>
    <row r="51">
      <c r="A51" s="1" t="s">
        <v>174</v>
      </c>
      <c r="B51" s="1" t="s">
        <v>175</v>
      </c>
      <c r="C51" s="1" t="s">
        <v>176</v>
      </c>
      <c r="D51" s="1">
        <v>0.0</v>
      </c>
      <c r="E51" s="1" t="s">
        <v>48</v>
      </c>
      <c r="F51" s="1">
        <v>736.0</v>
      </c>
      <c r="G51" s="1">
        <v>298.0</v>
      </c>
      <c r="H51" s="1">
        <v>279.0</v>
      </c>
      <c r="I51" s="7">
        <f>IFERROR(__xludf.DUMMYFUNCTION("SPLIT(B51,""T""""Z"")"),42993.0)</f>
        <v>42993</v>
      </c>
      <c r="J51" s="8">
        <f>IFERROR(__xludf.DUMMYFUNCTION("""COMPUTED_VALUE"""),0.3564699074074074)</f>
        <v>0.3564699074</v>
      </c>
      <c r="K51" s="9">
        <f t="shared" si="1"/>
        <v>4</v>
      </c>
      <c r="L51" s="7">
        <f>IFERROR(__xludf.DUMMYFUNCTION("SPLIT(C51,""T""""Z"")"),44798.0)</f>
        <v>44798</v>
      </c>
      <c r="M51" s="8">
        <f>IFERROR(__xludf.DUMMYFUNCTION("""COMPUTED_VALUE"""),0.6022106481481482)</f>
        <v>0.6022106481</v>
      </c>
      <c r="N51" s="10">
        <f t="shared" si="2"/>
        <v>134.4530556</v>
      </c>
      <c r="O51" s="11">
        <f t="shared" si="3"/>
        <v>0.9362416107</v>
      </c>
    </row>
    <row r="52">
      <c r="A52" s="1" t="s">
        <v>177</v>
      </c>
      <c r="B52" s="1" t="s">
        <v>178</v>
      </c>
      <c r="C52" s="1" t="s">
        <v>179</v>
      </c>
      <c r="D52" s="1">
        <v>370.0</v>
      </c>
      <c r="E52" s="1" t="s">
        <v>48</v>
      </c>
      <c r="F52" s="1">
        <v>13977.0</v>
      </c>
      <c r="G52" s="1">
        <v>16256.0</v>
      </c>
      <c r="H52" s="1">
        <v>15198.0</v>
      </c>
      <c r="I52" s="7">
        <f>IFERROR(__xludf.DUMMYFUNCTION("SPLIT(B52,""T""""Z"")"),41869.0)</f>
        <v>41869</v>
      </c>
      <c r="J52" s="8">
        <f>IFERROR(__xludf.DUMMYFUNCTION("""COMPUTED_VALUE"""),0.7999305555555556)</f>
        <v>0.7999305556</v>
      </c>
      <c r="K52" s="9">
        <f t="shared" si="1"/>
        <v>8</v>
      </c>
      <c r="L52" s="7">
        <f>IFERROR(__xludf.DUMMYFUNCTION("SPLIT(C52,""T""""Z"")"),44798.0)</f>
        <v>44798</v>
      </c>
      <c r="M52" s="8">
        <f>IFERROR(__xludf.DUMMYFUNCTION("""COMPUTED_VALUE"""),0.6071875)</f>
        <v>0.6071875</v>
      </c>
      <c r="N52" s="10">
        <f t="shared" si="2"/>
        <v>134.5725</v>
      </c>
      <c r="O52" s="11">
        <f t="shared" si="3"/>
        <v>0.9349163386</v>
      </c>
    </row>
    <row r="53">
      <c r="A53" s="1" t="s">
        <v>180</v>
      </c>
      <c r="B53" s="1" t="s">
        <v>181</v>
      </c>
      <c r="C53" s="1" t="s">
        <v>182</v>
      </c>
      <c r="D53" s="1">
        <v>116.0</v>
      </c>
      <c r="E53" s="1" t="s">
        <v>18</v>
      </c>
      <c r="F53" s="1">
        <v>2598.0</v>
      </c>
      <c r="G53" s="1">
        <v>5487.0</v>
      </c>
      <c r="H53" s="1">
        <v>5156.0</v>
      </c>
      <c r="I53" s="7">
        <f>IFERROR(__xludf.DUMMYFUNCTION("SPLIT(B53,""T""""Z"")"),42864.0)</f>
        <v>42864</v>
      </c>
      <c r="J53" s="8">
        <f>IFERROR(__xludf.DUMMYFUNCTION("""COMPUTED_VALUE"""),0.9279282407407408)</f>
        <v>0.9279282407</v>
      </c>
      <c r="K53" s="9">
        <f t="shared" si="1"/>
        <v>5</v>
      </c>
      <c r="L53" s="7">
        <f>IFERROR(__xludf.DUMMYFUNCTION("SPLIT(C53,""T""""Z"")"),44798.0)</f>
        <v>44798</v>
      </c>
      <c r="M53" s="8">
        <f>IFERROR(__xludf.DUMMYFUNCTION("""COMPUTED_VALUE"""),0.6069560185185185)</f>
        <v>0.6069560185</v>
      </c>
      <c r="N53" s="10">
        <f t="shared" si="2"/>
        <v>134.5669444</v>
      </c>
      <c r="O53" s="11">
        <f t="shared" si="3"/>
        <v>0.9396755969</v>
      </c>
    </row>
    <row r="54">
      <c r="A54" s="1" t="s">
        <v>183</v>
      </c>
      <c r="B54" s="1" t="s">
        <v>184</v>
      </c>
      <c r="C54" s="1" t="s">
        <v>185</v>
      </c>
      <c r="D54" s="1">
        <v>49.0</v>
      </c>
      <c r="E54" s="1" t="s">
        <v>186</v>
      </c>
      <c r="F54" s="1">
        <v>313.0</v>
      </c>
      <c r="G54" s="1">
        <v>3446.0</v>
      </c>
      <c r="H54" s="1">
        <v>2315.0</v>
      </c>
      <c r="I54" s="7">
        <f>IFERROR(__xludf.DUMMYFUNCTION("SPLIT(B54,""T""""Z"")"),42842.0)</f>
        <v>42842</v>
      </c>
      <c r="J54" s="8">
        <f>IFERROR(__xludf.DUMMYFUNCTION("""COMPUTED_VALUE"""),0.14987268518518518)</f>
        <v>0.1498726852</v>
      </c>
      <c r="K54" s="9">
        <f t="shared" si="1"/>
        <v>5</v>
      </c>
      <c r="L54" s="7">
        <f>IFERROR(__xludf.DUMMYFUNCTION("SPLIT(C54,""T""""Z"")"),44798.0)</f>
        <v>44798</v>
      </c>
      <c r="M54" s="8">
        <f>IFERROR(__xludf.DUMMYFUNCTION("""COMPUTED_VALUE"""),0.6086226851851851)</f>
        <v>0.6086226852</v>
      </c>
      <c r="N54" s="10">
        <f t="shared" si="2"/>
        <v>134.6069444</v>
      </c>
      <c r="O54" s="11">
        <f t="shared" si="3"/>
        <v>0.6717933836</v>
      </c>
    </row>
    <row r="55">
      <c r="A55" s="1" t="s">
        <v>187</v>
      </c>
      <c r="B55" s="1" t="s">
        <v>188</v>
      </c>
      <c r="C55" s="1" t="s">
        <v>189</v>
      </c>
      <c r="D55" s="1">
        <v>0.0</v>
      </c>
      <c r="E55" s="1" t="s">
        <v>48</v>
      </c>
      <c r="F55" s="1">
        <v>180.0</v>
      </c>
      <c r="G55" s="1">
        <v>58.0</v>
      </c>
      <c r="H55" s="1">
        <v>46.0</v>
      </c>
      <c r="I55" s="7">
        <f>IFERROR(__xludf.DUMMYFUNCTION("SPLIT(B55,""T""""Z"")"),42556.0)</f>
        <v>42556</v>
      </c>
      <c r="J55" s="8">
        <f>IFERROR(__xludf.DUMMYFUNCTION("""COMPUTED_VALUE"""),0.2088888888888889)</f>
        <v>0.2088888889</v>
      </c>
      <c r="K55" s="9">
        <f t="shared" si="1"/>
        <v>6</v>
      </c>
      <c r="L55" s="7">
        <f>IFERROR(__xludf.DUMMYFUNCTION("SPLIT(C55,""T""""Z"")"),44798.0)</f>
        <v>44798</v>
      </c>
      <c r="M55" s="8">
        <f>IFERROR(__xludf.DUMMYFUNCTION("""COMPUTED_VALUE"""),0.5978125)</f>
        <v>0.5978125</v>
      </c>
      <c r="N55" s="10">
        <f t="shared" si="2"/>
        <v>134.3475</v>
      </c>
      <c r="O55" s="11">
        <f t="shared" si="3"/>
        <v>0.7931034483</v>
      </c>
    </row>
    <row r="56">
      <c r="A56" s="1" t="s">
        <v>190</v>
      </c>
      <c r="B56" s="1" t="s">
        <v>191</v>
      </c>
      <c r="C56" s="1" t="s">
        <v>192</v>
      </c>
      <c r="D56" s="1">
        <v>66.0</v>
      </c>
      <c r="E56" s="1" t="s">
        <v>193</v>
      </c>
      <c r="F56" s="1">
        <v>3383.0</v>
      </c>
      <c r="G56" s="1">
        <v>16224.0</v>
      </c>
      <c r="H56" s="1">
        <v>13276.0</v>
      </c>
      <c r="I56" s="7">
        <f>IFERROR(__xludf.DUMMYFUNCTION("SPLIT(B56,""T""""Z"")"),43586.0)</f>
        <v>43586</v>
      </c>
      <c r="J56" s="8">
        <f>IFERROR(__xludf.DUMMYFUNCTION("""COMPUTED_VALUE"""),0.738912037037037)</f>
        <v>0.738912037</v>
      </c>
      <c r="K56" s="9">
        <f t="shared" si="1"/>
        <v>3</v>
      </c>
      <c r="L56" s="7">
        <f>IFERROR(__xludf.DUMMYFUNCTION("SPLIT(C56,""T""""Z"")"),44798.0)</f>
        <v>44798</v>
      </c>
      <c r="M56" s="8">
        <f>IFERROR(__xludf.DUMMYFUNCTION("""COMPUTED_VALUE"""),0.6023842592592593)</f>
        <v>0.6023842593</v>
      </c>
      <c r="N56" s="10">
        <f t="shared" si="2"/>
        <v>134.4572222</v>
      </c>
      <c r="O56" s="11">
        <f t="shared" si="3"/>
        <v>0.8182938856</v>
      </c>
    </row>
    <row r="57">
      <c r="A57" s="1" t="s">
        <v>194</v>
      </c>
      <c r="B57" s="1" t="s">
        <v>195</v>
      </c>
      <c r="C57" s="1" t="s">
        <v>196</v>
      </c>
      <c r="D57" s="1">
        <v>0.0</v>
      </c>
      <c r="E57" s="1" t="s">
        <v>95</v>
      </c>
      <c r="F57" s="1">
        <v>848.0</v>
      </c>
      <c r="G57" s="1">
        <v>699.0</v>
      </c>
      <c r="H57" s="1">
        <v>477.0</v>
      </c>
      <c r="I57" s="7">
        <f>IFERROR(__xludf.DUMMYFUNCTION("SPLIT(B57,""T""""Z"")"),41860.0)</f>
        <v>41860</v>
      </c>
      <c r="J57" s="8">
        <f>IFERROR(__xludf.DUMMYFUNCTION("""COMPUTED_VALUE"""),0.698125)</f>
        <v>0.698125</v>
      </c>
      <c r="K57" s="9">
        <f t="shared" si="1"/>
        <v>8</v>
      </c>
      <c r="L57" s="7">
        <f>IFERROR(__xludf.DUMMYFUNCTION("SPLIT(C57,""T""""Z"")"),44798.0)</f>
        <v>44798</v>
      </c>
      <c r="M57" s="8">
        <f>IFERROR(__xludf.DUMMYFUNCTION("""COMPUTED_VALUE"""),0.5520949074074074)</f>
        <v>0.5520949074</v>
      </c>
      <c r="N57" s="10">
        <f t="shared" si="2"/>
        <v>133.2502778</v>
      </c>
      <c r="O57" s="11">
        <f t="shared" si="3"/>
        <v>0.6824034335</v>
      </c>
    </row>
    <row r="58">
      <c r="A58" s="1" t="s">
        <v>197</v>
      </c>
      <c r="B58" s="1" t="s">
        <v>198</v>
      </c>
      <c r="C58" s="1" t="s">
        <v>199</v>
      </c>
      <c r="D58" s="1">
        <v>0.0</v>
      </c>
      <c r="E58" s="13" t="s">
        <v>22</v>
      </c>
      <c r="F58" s="1">
        <v>122.0</v>
      </c>
      <c r="G58" s="1">
        <v>0.0</v>
      </c>
      <c r="H58" s="1">
        <v>0.0</v>
      </c>
      <c r="I58" s="7">
        <f>IFERROR(__xludf.DUMMYFUNCTION("SPLIT(B58,""T""""Z"")"),43274.0)</f>
        <v>43274</v>
      </c>
      <c r="J58" s="8">
        <f>IFERROR(__xludf.DUMMYFUNCTION("""COMPUTED_VALUE"""),0.4466898148148148)</f>
        <v>0.4466898148</v>
      </c>
      <c r="K58" s="9">
        <f t="shared" si="1"/>
        <v>4</v>
      </c>
      <c r="L58" s="7">
        <f>IFERROR(__xludf.DUMMYFUNCTION("SPLIT(C58,""T""""Z"")"),44798.0)</f>
        <v>44798</v>
      </c>
      <c r="M58" s="8">
        <f>IFERROR(__xludf.DUMMYFUNCTION("""COMPUTED_VALUE"""),0.6002199074074074)</f>
        <v>0.6002199074</v>
      </c>
      <c r="N58" s="12">
        <f t="shared" si="2"/>
        <v>134.4052778</v>
      </c>
      <c r="O58" s="11">
        <f t="shared" si="3"/>
        <v>0</v>
      </c>
    </row>
    <row r="59">
      <c r="A59" s="1" t="s">
        <v>200</v>
      </c>
      <c r="B59" s="1" t="s">
        <v>201</v>
      </c>
      <c r="C59" s="1" t="s">
        <v>202</v>
      </c>
      <c r="D59" s="1">
        <v>0.0</v>
      </c>
      <c r="E59" s="13" t="s">
        <v>22</v>
      </c>
      <c r="F59" s="1">
        <v>176.0</v>
      </c>
      <c r="G59" s="1">
        <v>57.0</v>
      </c>
      <c r="H59" s="1">
        <v>40.0</v>
      </c>
      <c r="I59" s="7">
        <f>IFERROR(__xludf.DUMMYFUNCTION("SPLIT(B59,""T""""Z"")"),42837.0)</f>
        <v>42837</v>
      </c>
      <c r="J59" s="8">
        <f>IFERROR(__xludf.DUMMYFUNCTION("""COMPUTED_VALUE"""),0.21372685185185186)</f>
        <v>0.2137268519</v>
      </c>
      <c r="K59" s="9">
        <f t="shared" si="1"/>
        <v>5</v>
      </c>
      <c r="L59" s="7">
        <f>IFERROR(__xludf.DUMMYFUNCTION("SPLIT(C59,""T""""Z"")"),44798.0)</f>
        <v>44798</v>
      </c>
      <c r="M59" s="8">
        <f>IFERROR(__xludf.DUMMYFUNCTION("""COMPUTED_VALUE"""),0.6040625)</f>
        <v>0.6040625</v>
      </c>
      <c r="N59" s="12">
        <f t="shared" si="2"/>
        <v>134.4975</v>
      </c>
      <c r="O59" s="11">
        <f t="shared" si="3"/>
        <v>0.701754386</v>
      </c>
    </row>
    <row r="60">
      <c r="A60" s="1" t="s">
        <v>203</v>
      </c>
      <c r="B60" s="1" t="s">
        <v>204</v>
      </c>
      <c r="C60" s="1" t="s">
        <v>205</v>
      </c>
      <c r="D60" s="1">
        <v>22.0</v>
      </c>
      <c r="E60" s="1" t="s">
        <v>206</v>
      </c>
      <c r="F60" s="1">
        <v>313.0</v>
      </c>
      <c r="G60" s="1">
        <v>825.0</v>
      </c>
      <c r="H60" s="1">
        <v>804.0</v>
      </c>
      <c r="I60" s="7">
        <f>IFERROR(__xludf.DUMMYFUNCTION("SPLIT(B60,""T""""Z"")"),40828.0)</f>
        <v>40828</v>
      </c>
      <c r="J60" s="8">
        <f>IFERROR(__xludf.DUMMYFUNCTION("""COMPUTED_VALUE"""),0.4219675925925926)</f>
        <v>0.4219675926</v>
      </c>
      <c r="K60" s="9">
        <f t="shared" si="1"/>
        <v>10</v>
      </c>
      <c r="L60" s="7">
        <f>IFERROR(__xludf.DUMMYFUNCTION("SPLIT(C60,""T""""Z"")"),44798.0)</f>
        <v>44798</v>
      </c>
      <c r="M60" s="8">
        <f>IFERROR(__xludf.DUMMYFUNCTION("""COMPUTED_VALUE"""),0.5506134259259259)</f>
        <v>0.5506134259</v>
      </c>
      <c r="N60" s="10">
        <f t="shared" si="2"/>
        <v>133.2147222</v>
      </c>
      <c r="O60" s="11">
        <f t="shared" si="3"/>
        <v>0.9745454545</v>
      </c>
    </row>
    <row r="61">
      <c r="A61" s="1" t="s">
        <v>207</v>
      </c>
      <c r="B61" s="1" t="s">
        <v>208</v>
      </c>
      <c r="C61" s="1" t="s">
        <v>209</v>
      </c>
      <c r="D61" s="1">
        <v>24.0</v>
      </c>
      <c r="E61" s="1" t="s">
        <v>38</v>
      </c>
      <c r="F61" s="1">
        <v>2246.0</v>
      </c>
      <c r="G61" s="1">
        <v>6957.0</v>
      </c>
      <c r="H61" s="1">
        <v>5846.0</v>
      </c>
      <c r="I61" s="7">
        <f>IFERROR(__xludf.DUMMYFUNCTION("SPLIT(B61,""T""""Z"")"),42405.0)</f>
        <v>42405</v>
      </c>
      <c r="J61" s="8">
        <f>IFERROR(__xludf.DUMMYFUNCTION("""COMPUTED_VALUE"""),0.052314814814814814)</f>
        <v>0.05231481481</v>
      </c>
      <c r="K61" s="9">
        <f t="shared" si="1"/>
        <v>6</v>
      </c>
      <c r="L61" s="7">
        <f>IFERROR(__xludf.DUMMYFUNCTION("SPLIT(C61,""T""""Z"")"),44798.0)</f>
        <v>44798</v>
      </c>
      <c r="M61" s="8">
        <f>IFERROR(__xludf.DUMMYFUNCTION("""COMPUTED_VALUE"""),0.5771643518518519)</f>
        <v>0.5771643519</v>
      </c>
      <c r="N61" s="10">
        <f t="shared" si="2"/>
        <v>133.8519444</v>
      </c>
      <c r="O61" s="11">
        <f t="shared" si="3"/>
        <v>0.840304729</v>
      </c>
    </row>
    <row r="62">
      <c r="A62" s="1" t="s">
        <v>210</v>
      </c>
      <c r="B62" s="1" t="s">
        <v>211</v>
      </c>
      <c r="C62" s="1" t="s">
        <v>212</v>
      </c>
      <c r="D62" s="1">
        <v>1047.0</v>
      </c>
      <c r="E62" s="1" t="s">
        <v>18</v>
      </c>
      <c r="F62" s="1">
        <v>6814.0</v>
      </c>
      <c r="G62" s="1">
        <v>9307.0</v>
      </c>
      <c r="H62" s="1">
        <v>7398.0</v>
      </c>
      <c r="I62" s="7">
        <f>IFERROR(__xludf.DUMMYFUNCTION("SPLIT(B62,""T""""Z"")"),42447.0)</f>
        <v>42447</v>
      </c>
      <c r="J62" s="8">
        <f>IFERROR(__xludf.DUMMYFUNCTION("""COMPUTED_VALUE"""),0.18314814814814814)</f>
        <v>0.1831481481</v>
      </c>
      <c r="K62" s="9">
        <f t="shared" si="1"/>
        <v>6</v>
      </c>
      <c r="L62" s="7">
        <f>IFERROR(__xludf.DUMMYFUNCTION("SPLIT(C62,""T""""Z"")"),44798.0)</f>
        <v>44798</v>
      </c>
      <c r="M62" s="8">
        <f>IFERROR(__xludf.DUMMYFUNCTION("""COMPUTED_VALUE"""),0.6010416666666667)</f>
        <v>0.6010416667</v>
      </c>
      <c r="N62" s="10">
        <f t="shared" si="2"/>
        <v>134.425</v>
      </c>
      <c r="O62" s="11">
        <f t="shared" si="3"/>
        <v>0.79488557</v>
      </c>
    </row>
    <row r="63">
      <c r="A63" s="1" t="s">
        <v>213</v>
      </c>
      <c r="B63" s="1" t="s">
        <v>214</v>
      </c>
      <c r="C63" s="1" t="s">
        <v>215</v>
      </c>
      <c r="D63" s="1">
        <v>17.0</v>
      </c>
      <c r="E63" s="1" t="s">
        <v>38</v>
      </c>
      <c r="F63" s="1">
        <v>474.0</v>
      </c>
      <c r="G63" s="1">
        <v>645.0</v>
      </c>
      <c r="H63" s="1">
        <v>444.0</v>
      </c>
      <c r="I63" s="7">
        <f>IFERROR(__xludf.DUMMYFUNCTION("SPLIT(B63,""T""""Z"")"),42102.0)</f>
        <v>42102</v>
      </c>
      <c r="J63" s="8">
        <f>IFERROR(__xludf.DUMMYFUNCTION("""COMPUTED_VALUE"""),0.6306018518518518)</f>
        <v>0.6306018519</v>
      </c>
      <c r="K63" s="9">
        <f t="shared" si="1"/>
        <v>7</v>
      </c>
      <c r="L63" s="7">
        <f>IFERROR(__xludf.DUMMYFUNCTION("SPLIT(C63,""T""""Z"")"),44798.0)</f>
        <v>44798</v>
      </c>
      <c r="M63" s="8">
        <f>IFERROR(__xludf.DUMMYFUNCTION("""COMPUTED_VALUE"""),0.5760416666666667)</f>
        <v>0.5760416667</v>
      </c>
      <c r="N63" s="10">
        <f t="shared" si="2"/>
        <v>133.825</v>
      </c>
      <c r="O63" s="11">
        <f t="shared" si="3"/>
        <v>0.688372093</v>
      </c>
    </row>
    <row r="64">
      <c r="A64" s="1" t="s">
        <v>216</v>
      </c>
      <c r="B64" s="1" t="s">
        <v>217</v>
      </c>
      <c r="C64" s="1" t="s">
        <v>218</v>
      </c>
      <c r="D64" s="1">
        <v>0.0</v>
      </c>
      <c r="E64" s="1" t="s">
        <v>48</v>
      </c>
      <c r="F64" s="1">
        <v>148.0</v>
      </c>
      <c r="G64" s="1">
        <v>129.0</v>
      </c>
      <c r="H64" s="1">
        <v>81.0</v>
      </c>
      <c r="I64" s="7">
        <f>IFERROR(__xludf.DUMMYFUNCTION("SPLIT(B64,""T""""Z"")"),42699.0)</f>
        <v>42699</v>
      </c>
      <c r="J64" s="8">
        <f>IFERROR(__xludf.DUMMYFUNCTION("""COMPUTED_VALUE"""),0.9345023148148148)</f>
        <v>0.9345023148</v>
      </c>
      <c r="K64" s="9">
        <f t="shared" si="1"/>
        <v>5</v>
      </c>
      <c r="L64" s="7">
        <f>IFERROR(__xludf.DUMMYFUNCTION("SPLIT(C64,""T""""Z"")"),44798.0)</f>
        <v>44798</v>
      </c>
      <c r="M64" s="8">
        <f>IFERROR(__xludf.DUMMYFUNCTION("""COMPUTED_VALUE"""),0.6025)</f>
        <v>0.6025</v>
      </c>
      <c r="N64" s="10">
        <f t="shared" si="2"/>
        <v>134.46</v>
      </c>
      <c r="O64" s="11">
        <f t="shared" si="3"/>
        <v>0.6279069767</v>
      </c>
    </row>
    <row r="65">
      <c r="A65" s="1" t="s">
        <v>219</v>
      </c>
      <c r="B65" s="1" t="s">
        <v>220</v>
      </c>
      <c r="C65" s="1" t="s">
        <v>221</v>
      </c>
      <c r="D65" s="1">
        <v>0.0</v>
      </c>
      <c r="E65" s="1" t="s">
        <v>95</v>
      </c>
      <c r="F65" s="1">
        <v>63.0</v>
      </c>
      <c r="G65" s="1">
        <v>56.0</v>
      </c>
      <c r="H65" s="1">
        <v>42.0</v>
      </c>
      <c r="I65" s="7">
        <f>IFERROR(__xludf.DUMMYFUNCTION("SPLIT(B65,""T""""Z"")"),43440.0)</f>
        <v>43440</v>
      </c>
      <c r="J65" s="8">
        <f>IFERROR(__xludf.DUMMYFUNCTION("""COMPUTED_VALUE"""),0.3342824074074074)</f>
        <v>0.3342824074</v>
      </c>
      <c r="K65" s="9">
        <f t="shared" si="1"/>
        <v>3</v>
      </c>
      <c r="L65" s="7">
        <f>IFERROR(__xludf.DUMMYFUNCTION("SPLIT(C65,""T""""Z"")"),44798.0)</f>
        <v>44798</v>
      </c>
      <c r="M65" s="8">
        <f>IFERROR(__xludf.DUMMYFUNCTION("""COMPUTED_VALUE"""),0.5556481481481481)</f>
        <v>0.5556481481</v>
      </c>
      <c r="N65" s="10">
        <f t="shared" si="2"/>
        <v>133.3355556</v>
      </c>
      <c r="O65" s="11">
        <f t="shared" si="3"/>
        <v>0.75</v>
      </c>
    </row>
    <row r="66">
      <c r="A66" s="1" t="s">
        <v>222</v>
      </c>
      <c r="B66" s="1" t="s">
        <v>223</v>
      </c>
      <c r="C66" s="1" t="s">
        <v>224</v>
      </c>
      <c r="D66" s="1">
        <v>101.0</v>
      </c>
      <c r="E66" s="1" t="s">
        <v>161</v>
      </c>
      <c r="F66" s="1">
        <v>42026.0</v>
      </c>
      <c r="G66" s="1">
        <v>44871.0</v>
      </c>
      <c r="H66" s="1">
        <v>36595.0</v>
      </c>
      <c r="I66" s="7">
        <f>IFERROR(__xludf.DUMMYFUNCTION("SPLIT(B66,""T""""Z"")"),40345.0)</f>
        <v>40345</v>
      </c>
      <c r="J66" s="8">
        <f>IFERROR(__xludf.DUMMYFUNCTION("""COMPUTED_VALUE"""),0.8604513888888888)</f>
        <v>0.8604513889</v>
      </c>
      <c r="K66" s="9">
        <f t="shared" si="1"/>
        <v>12</v>
      </c>
      <c r="L66" s="7">
        <f>IFERROR(__xludf.DUMMYFUNCTION("SPLIT(C66,""T""""Z"")"),44798.0)</f>
        <v>44798</v>
      </c>
      <c r="M66" s="8">
        <f>IFERROR(__xludf.DUMMYFUNCTION("""COMPUTED_VALUE"""),0.6067361111111111)</f>
        <v>0.6067361111</v>
      </c>
      <c r="N66" s="10">
        <f t="shared" si="2"/>
        <v>134.5616667</v>
      </c>
      <c r="O66" s="11">
        <f t="shared" si="3"/>
        <v>0.8155601614</v>
      </c>
    </row>
    <row r="67">
      <c r="A67" s="1" t="s">
        <v>225</v>
      </c>
      <c r="B67" s="1" t="s">
        <v>226</v>
      </c>
      <c r="C67" s="1" t="s">
        <v>227</v>
      </c>
      <c r="D67" s="1">
        <v>118.0</v>
      </c>
      <c r="E67" s="1" t="s">
        <v>228</v>
      </c>
      <c r="F67" s="1">
        <v>1444.0</v>
      </c>
      <c r="G67" s="1">
        <v>0.0</v>
      </c>
      <c r="H67" s="1">
        <v>0.0</v>
      </c>
      <c r="I67" s="7">
        <f>IFERROR(__xludf.DUMMYFUNCTION("SPLIT(B67,""T""""Z"")"),40702.0)</f>
        <v>40702</v>
      </c>
      <c r="J67" s="8">
        <f>IFERROR(__xludf.DUMMYFUNCTION("""COMPUTED_VALUE"""),0.12925925925925927)</f>
        <v>0.1292592593</v>
      </c>
      <c r="K67" s="9">
        <f t="shared" si="1"/>
        <v>11</v>
      </c>
      <c r="L67" s="7">
        <f>IFERROR(__xludf.DUMMYFUNCTION("SPLIT(C67,""T""""Z"")"),44798.0)</f>
        <v>44798</v>
      </c>
      <c r="M67" s="8">
        <f>IFERROR(__xludf.DUMMYFUNCTION("""COMPUTED_VALUE"""),0.5856597222222222)</f>
        <v>0.5856597222</v>
      </c>
      <c r="N67" s="10">
        <f t="shared" si="2"/>
        <v>134.0558333</v>
      </c>
      <c r="O67" s="11">
        <f t="shared" si="3"/>
        <v>0</v>
      </c>
    </row>
    <row r="68">
      <c r="A68" s="1" t="s">
        <v>229</v>
      </c>
      <c r="B68" s="1" t="s">
        <v>230</v>
      </c>
      <c r="C68" s="1" t="s">
        <v>231</v>
      </c>
      <c r="D68" s="1">
        <v>47.0</v>
      </c>
      <c r="E68" s="1" t="s">
        <v>48</v>
      </c>
      <c r="F68" s="1">
        <v>192.0</v>
      </c>
      <c r="G68" s="1">
        <v>18485.0</v>
      </c>
      <c r="H68" s="1">
        <v>13198.0</v>
      </c>
      <c r="I68" s="7">
        <f>IFERROR(__xludf.DUMMYFUNCTION("SPLIT(B68,""T""""Z"")"),40956.0)</f>
        <v>40956</v>
      </c>
      <c r="J68" s="8">
        <f>IFERROR(__xludf.DUMMYFUNCTION("""COMPUTED_VALUE"""),0.597025462962963)</f>
        <v>0.597025463</v>
      </c>
      <c r="K68" s="9">
        <f t="shared" si="1"/>
        <v>10</v>
      </c>
      <c r="L68" s="7">
        <f>IFERROR(__xludf.DUMMYFUNCTION("SPLIT(C68,""T""""Z"")"),44798.0)</f>
        <v>44798</v>
      </c>
      <c r="M68" s="8">
        <f>IFERROR(__xludf.DUMMYFUNCTION("""COMPUTED_VALUE"""),0.5934606481481481)</f>
        <v>0.5934606481</v>
      </c>
      <c r="N68" s="10">
        <f t="shared" si="2"/>
        <v>134.2430556</v>
      </c>
      <c r="O68" s="11">
        <f t="shared" si="3"/>
        <v>0.7139843116</v>
      </c>
    </row>
    <row r="69">
      <c r="A69" s="1" t="s">
        <v>232</v>
      </c>
      <c r="B69" s="1" t="s">
        <v>233</v>
      </c>
      <c r="C69" s="1" t="s">
        <v>234</v>
      </c>
      <c r="D69" s="1">
        <v>28.0</v>
      </c>
      <c r="E69" s="1" t="s">
        <v>88</v>
      </c>
      <c r="F69" s="1">
        <v>59.0</v>
      </c>
      <c r="G69" s="1">
        <v>3109.0</v>
      </c>
      <c r="H69" s="1">
        <v>2033.0</v>
      </c>
      <c r="I69" s="7">
        <f>IFERROR(__xludf.DUMMYFUNCTION("SPLIT(B69,""T""""Z"")"),43060.0)</f>
        <v>43060</v>
      </c>
      <c r="J69" s="8">
        <f>IFERROR(__xludf.DUMMYFUNCTION("""COMPUTED_VALUE"""),0.7503125)</f>
        <v>0.7503125</v>
      </c>
      <c r="K69" s="9">
        <f t="shared" si="1"/>
        <v>4</v>
      </c>
      <c r="L69" s="7">
        <f>IFERROR(__xludf.DUMMYFUNCTION("SPLIT(C69,""T""""Z"")"),44798.0)</f>
        <v>44798</v>
      </c>
      <c r="M69" s="8">
        <f>IFERROR(__xludf.DUMMYFUNCTION("""COMPUTED_VALUE"""),0.5247685185185185)</f>
        <v>0.5247685185</v>
      </c>
      <c r="N69" s="10">
        <f t="shared" si="2"/>
        <v>132.5944444</v>
      </c>
      <c r="O69" s="11">
        <f t="shared" si="3"/>
        <v>0.653908009</v>
      </c>
    </row>
    <row r="70">
      <c r="A70" s="1" t="s">
        <v>235</v>
      </c>
      <c r="B70" s="1" t="s">
        <v>236</v>
      </c>
      <c r="C70" s="1" t="s">
        <v>237</v>
      </c>
      <c r="D70" s="1">
        <v>99.0</v>
      </c>
      <c r="E70" s="1" t="s">
        <v>38</v>
      </c>
      <c r="F70" s="1">
        <v>7065.0</v>
      </c>
      <c r="G70" s="1">
        <v>9874.0</v>
      </c>
      <c r="H70" s="1">
        <v>9471.0</v>
      </c>
      <c r="I70" s="7">
        <f>IFERROR(__xludf.DUMMYFUNCTION("SPLIT(B70,""T""""Z"")"),43402.0)</f>
        <v>43402</v>
      </c>
      <c r="J70" s="8">
        <f>IFERROR(__xludf.DUMMYFUNCTION("""COMPUTED_VALUE"""),0.5805555555555556)</f>
        <v>0.5805555556</v>
      </c>
      <c r="K70" s="9">
        <f t="shared" si="1"/>
        <v>3</v>
      </c>
      <c r="L70" s="7">
        <f>IFERROR(__xludf.DUMMYFUNCTION("SPLIT(C70,""T""""Z"")"),44798.0)</f>
        <v>44798</v>
      </c>
      <c r="M70" s="8">
        <f>IFERROR(__xludf.DUMMYFUNCTION("""COMPUTED_VALUE"""),0.5944212962962963)</f>
        <v>0.5944212963</v>
      </c>
      <c r="N70" s="10">
        <f t="shared" si="2"/>
        <v>134.2661111</v>
      </c>
      <c r="O70" s="11">
        <f t="shared" si="3"/>
        <v>0.9591857403</v>
      </c>
    </row>
    <row r="71">
      <c r="A71" s="1" t="s">
        <v>238</v>
      </c>
      <c r="B71" s="1" t="s">
        <v>239</v>
      </c>
      <c r="C71" s="1" t="s">
        <v>240</v>
      </c>
      <c r="D71" s="1">
        <v>0.0</v>
      </c>
      <c r="E71" s="1" t="s">
        <v>68</v>
      </c>
      <c r="F71" s="1">
        <v>227.0</v>
      </c>
      <c r="G71" s="1">
        <v>505.0</v>
      </c>
      <c r="H71" s="1">
        <v>453.0</v>
      </c>
      <c r="I71" s="7">
        <f>IFERROR(__xludf.DUMMYFUNCTION("SPLIT(B71,""T""""Z"")"),42426.0)</f>
        <v>42426</v>
      </c>
      <c r="J71" s="8">
        <f>IFERROR(__xludf.DUMMYFUNCTION("""COMPUTED_VALUE"""),0.8679745370370371)</f>
        <v>0.867974537</v>
      </c>
      <c r="K71" s="9">
        <f t="shared" si="1"/>
        <v>6</v>
      </c>
      <c r="L71" s="7">
        <f>IFERROR(__xludf.DUMMYFUNCTION("SPLIT(C71,""T""""Z"")"),44798.0)</f>
        <v>44798</v>
      </c>
      <c r="M71" s="8">
        <f>IFERROR(__xludf.DUMMYFUNCTION("""COMPUTED_VALUE"""),0.6082986111111112)</f>
        <v>0.6082986111</v>
      </c>
      <c r="N71" s="10">
        <f t="shared" si="2"/>
        <v>134.5991667</v>
      </c>
      <c r="O71" s="11">
        <f t="shared" si="3"/>
        <v>0.897029703</v>
      </c>
    </row>
    <row r="72">
      <c r="A72" s="1" t="s">
        <v>241</v>
      </c>
      <c r="B72" s="1" t="s">
        <v>242</v>
      </c>
      <c r="C72" s="1" t="s">
        <v>243</v>
      </c>
      <c r="D72" s="1">
        <v>0.0</v>
      </c>
      <c r="E72" s="13" t="s">
        <v>22</v>
      </c>
      <c r="F72" s="1">
        <v>3340.0</v>
      </c>
      <c r="G72" s="1">
        <v>205.0</v>
      </c>
      <c r="H72" s="1">
        <v>180.0</v>
      </c>
      <c r="I72" s="7">
        <f>IFERROR(__xludf.DUMMYFUNCTION("SPLIT(B72,""T""""Z"")"),42297.0)</f>
        <v>42297</v>
      </c>
      <c r="J72" s="8">
        <f>IFERROR(__xludf.DUMMYFUNCTION("""COMPUTED_VALUE"""),0.011273148148148148)</f>
        <v>0.01127314815</v>
      </c>
      <c r="K72" s="9">
        <f t="shared" si="1"/>
        <v>6</v>
      </c>
      <c r="L72" s="7">
        <f>IFERROR(__xludf.DUMMYFUNCTION("SPLIT(C72,""T""""Z"")"),44798.0)</f>
        <v>44798</v>
      </c>
      <c r="M72" s="8">
        <f>IFERROR(__xludf.DUMMYFUNCTION("""COMPUTED_VALUE"""),0.5312962962962963)</f>
        <v>0.5312962963</v>
      </c>
      <c r="N72" s="12">
        <f t="shared" si="2"/>
        <v>132.7511111</v>
      </c>
      <c r="O72" s="11">
        <f t="shared" si="3"/>
        <v>0.8780487805</v>
      </c>
    </row>
    <row r="73">
      <c r="A73" s="1" t="s">
        <v>244</v>
      </c>
      <c r="B73" s="1" t="s">
        <v>245</v>
      </c>
      <c r="C73" s="1" t="s">
        <v>246</v>
      </c>
      <c r="D73" s="1">
        <v>0.0</v>
      </c>
      <c r="E73" s="1" t="s">
        <v>38</v>
      </c>
      <c r="F73" s="1">
        <v>7585.0</v>
      </c>
      <c r="G73" s="1">
        <v>0.0</v>
      </c>
      <c r="H73" s="1">
        <v>0.0</v>
      </c>
      <c r="I73" s="7">
        <f>IFERROR(__xludf.DUMMYFUNCTION("SPLIT(B73,""T""""Z"")"),41027.0)</f>
        <v>41027</v>
      </c>
      <c r="J73" s="8">
        <f>IFERROR(__xludf.DUMMYFUNCTION("""COMPUTED_VALUE"""),0.11618055555555555)</f>
        <v>0.1161805556</v>
      </c>
      <c r="K73" s="9">
        <f t="shared" si="1"/>
        <v>10</v>
      </c>
      <c r="L73" s="7">
        <f>IFERROR(__xludf.DUMMYFUNCTION("SPLIT(C73,""T""""Z"")"),44798.0)</f>
        <v>44798</v>
      </c>
      <c r="M73" s="8">
        <f>IFERROR(__xludf.DUMMYFUNCTION("""COMPUTED_VALUE"""),0.5853587962962963)</f>
        <v>0.5853587963</v>
      </c>
      <c r="N73" s="10">
        <f t="shared" si="2"/>
        <v>134.0486111</v>
      </c>
      <c r="O73" s="11">
        <f t="shared" si="3"/>
        <v>0</v>
      </c>
    </row>
    <row r="74">
      <c r="A74" s="1" t="s">
        <v>247</v>
      </c>
      <c r="B74" s="1" t="s">
        <v>248</v>
      </c>
      <c r="C74" s="1" t="s">
        <v>249</v>
      </c>
      <c r="D74" s="1">
        <v>37.0</v>
      </c>
      <c r="E74" s="1" t="s">
        <v>52</v>
      </c>
      <c r="F74" s="1">
        <v>12095.0</v>
      </c>
      <c r="G74" s="1">
        <v>7039.0</v>
      </c>
      <c r="H74" s="1">
        <v>6580.0</v>
      </c>
      <c r="I74" s="7">
        <f>IFERROR(__xludf.DUMMYFUNCTION("SPLIT(B74,""T""""Z"")"),40531.0)</f>
        <v>40531</v>
      </c>
      <c r="J74" s="8">
        <f>IFERROR(__xludf.DUMMYFUNCTION("""COMPUTED_VALUE"""),0.6366087962962963)</f>
        <v>0.6366087963</v>
      </c>
      <c r="K74" s="9">
        <f t="shared" si="1"/>
        <v>11</v>
      </c>
      <c r="L74" s="7">
        <f>IFERROR(__xludf.DUMMYFUNCTION("SPLIT(C74,""T""""Z"")"),44798.0)</f>
        <v>44798</v>
      </c>
      <c r="M74" s="8">
        <f>IFERROR(__xludf.DUMMYFUNCTION("""COMPUTED_VALUE"""),0.5974305555555556)</f>
        <v>0.5974305556</v>
      </c>
      <c r="N74" s="10">
        <f t="shared" si="2"/>
        <v>134.3383333</v>
      </c>
      <c r="O74" s="11">
        <f t="shared" si="3"/>
        <v>0.9347918738</v>
      </c>
    </row>
    <row r="75">
      <c r="A75" s="1" t="s">
        <v>250</v>
      </c>
      <c r="B75" s="1" t="s">
        <v>251</v>
      </c>
      <c r="C75" s="1" t="s">
        <v>252</v>
      </c>
      <c r="D75" s="1">
        <v>29.0</v>
      </c>
      <c r="E75" s="1" t="s">
        <v>253</v>
      </c>
      <c r="F75" s="1">
        <v>123.0</v>
      </c>
      <c r="G75" s="1">
        <v>1223.0</v>
      </c>
      <c r="H75" s="1">
        <v>892.0</v>
      </c>
      <c r="I75" s="7">
        <f>IFERROR(__xludf.DUMMYFUNCTION("SPLIT(B75,""T""""Z"")"),41954.0)</f>
        <v>41954</v>
      </c>
      <c r="J75" s="8">
        <f>IFERROR(__xludf.DUMMYFUNCTION("""COMPUTED_VALUE"""),0.8143287037037037)</f>
        <v>0.8143287037</v>
      </c>
      <c r="K75" s="9">
        <f t="shared" si="1"/>
        <v>7</v>
      </c>
      <c r="L75" s="7">
        <f>IFERROR(__xludf.DUMMYFUNCTION("SPLIT(C75,""T""""Z"")"),44798.0)</f>
        <v>44798</v>
      </c>
      <c r="M75" s="8">
        <f>IFERROR(__xludf.DUMMYFUNCTION("""COMPUTED_VALUE"""),0.6089930555555556)</f>
        <v>0.6089930556</v>
      </c>
      <c r="N75" s="10">
        <f t="shared" si="2"/>
        <v>134.6158333</v>
      </c>
      <c r="O75" s="11">
        <f t="shared" si="3"/>
        <v>0.7293540474</v>
      </c>
    </row>
    <row r="76">
      <c r="A76" s="1" t="s">
        <v>254</v>
      </c>
      <c r="B76" s="1" t="s">
        <v>255</v>
      </c>
      <c r="C76" s="1" t="s">
        <v>256</v>
      </c>
      <c r="D76" s="1">
        <v>1.0</v>
      </c>
      <c r="E76" s="1" t="s">
        <v>95</v>
      </c>
      <c r="F76" s="1">
        <v>74.0</v>
      </c>
      <c r="G76" s="1">
        <v>133.0</v>
      </c>
      <c r="H76" s="1">
        <v>132.0</v>
      </c>
      <c r="I76" s="7">
        <f>IFERROR(__xludf.DUMMYFUNCTION("SPLIT(B76,""T""""Z"")"),43379.0)</f>
        <v>43379</v>
      </c>
      <c r="J76" s="8">
        <f>IFERROR(__xludf.DUMMYFUNCTION("""COMPUTED_VALUE"""),0.48506944444444444)</f>
        <v>0.4850694444</v>
      </c>
      <c r="K76" s="9">
        <f t="shared" si="1"/>
        <v>3</v>
      </c>
      <c r="L76" s="7">
        <f>IFERROR(__xludf.DUMMYFUNCTION("SPLIT(C76,""T""""Z"")"),44798.0)</f>
        <v>44798</v>
      </c>
      <c r="M76" s="8">
        <f>IFERROR(__xludf.DUMMYFUNCTION("""COMPUTED_VALUE"""),0.6016898148148148)</f>
        <v>0.6016898148</v>
      </c>
      <c r="N76" s="10">
        <f t="shared" si="2"/>
        <v>134.4405556</v>
      </c>
      <c r="O76" s="11">
        <f t="shared" si="3"/>
        <v>0.992481203</v>
      </c>
    </row>
    <row r="77">
      <c r="A77" s="1" t="s">
        <v>257</v>
      </c>
      <c r="B77" s="1" t="s">
        <v>258</v>
      </c>
      <c r="C77" s="1" t="s">
        <v>259</v>
      </c>
      <c r="D77" s="1">
        <v>107.0</v>
      </c>
      <c r="E77" s="1" t="s">
        <v>124</v>
      </c>
      <c r="F77" s="1">
        <v>17492.0</v>
      </c>
      <c r="G77" s="1">
        <v>21511.0</v>
      </c>
      <c r="H77" s="1">
        <v>17480.0</v>
      </c>
      <c r="I77" s="7">
        <f>IFERROR(__xludf.DUMMYFUNCTION("SPLIT(B77,""T""""Z"")"),41292.0)</f>
        <v>41292</v>
      </c>
      <c r="J77" s="8">
        <f>IFERROR(__xludf.DUMMYFUNCTION("""COMPUTED_VALUE"""),0.7576041666666666)</f>
        <v>0.7576041667</v>
      </c>
      <c r="K77" s="9">
        <f t="shared" si="1"/>
        <v>9</v>
      </c>
      <c r="L77" s="7">
        <f>IFERROR(__xludf.DUMMYFUNCTION("SPLIT(C77,""T""""Z"")"),44798.0)</f>
        <v>44798</v>
      </c>
      <c r="M77" s="8">
        <f>IFERROR(__xludf.DUMMYFUNCTION("""COMPUTED_VALUE"""),0.44481481481481483)</f>
        <v>0.4448148148</v>
      </c>
      <c r="N77" s="10">
        <f t="shared" si="2"/>
        <v>130.6755556</v>
      </c>
      <c r="O77" s="11">
        <f t="shared" si="3"/>
        <v>0.8126075031</v>
      </c>
    </row>
    <row r="78">
      <c r="A78" s="1" t="s">
        <v>260</v>
      </c>
      <c r="B78" s="1" t="s">
        <v>261</v>
      </c>
      <c r="C78" s="1" t="s">
        <v>262</v>
      </c>
      <c r="D78" s="1">
        <v>0.0</v>
      </c>
      <c r="E78" s="1" t="s">
        <v>68</v>
      </c>
      <c r="F78" s="1">
        <v>403.0</v>
      </c>
      <c r="G78" s="1">
        <v>173.0</v>
      </c>
      <c r="H78" s="1">
        <v>157.0</v>
      </c>
      <c r="I78" s="7">
        <f>IFERROR(__xludf.DUMMYFUNCTION("SPLIT(B78,""T""""Z"")"),41623.0)</f>
        <v>41623</v>
      </c>
      <c r="J78" s="8">
        <f>IFERROR(__xludf.DUMMYFUNCTION("""COMPUTED_VALUE"""),0.6053356481481481)</f>
        <v>0.6053356481</v>
      </c>
      <c r="K78" s="9">
        <f t="shared" si="1"/>
        <v>8</v>
      </c>
      <c r="L78" s="7">
        <f>IFERROR(__xludf.DUMMYFUNCTION("SPLIT(C78,""T""""Z"")"),44798.0)</f>
        <v>44798</v>
      </c>
      <c r="M78" s="8">
        <f>IFERROR(__xludf.DUMMYFUNCTION("""COMPUTED_VALUE"""),0.5910300925925925)</f>
        <v>0.5910300926</v>
      </c>
      <c r="N78" s="10">
        <f t="shared" si="2"/>
        <v>134.1847222</v>
      </c>
      <c r="O78" s="11">
        <f t="shared" si="3"/>
        <v>0.9075144509</v>
      </c>
    </row>
    <row r="79">
      <c r="A79" s="1" t="s">
        <v>263</v>
      </c>
      <c r="B79" s="1" t="s">
        <v>264</v>
      </c>
      <c r="C79" s="1" t="s">
        <v>265</v>
      </c>
      <c r="D79" s="1">
        <v>58.0</v>
      </c>
      <c r="E79" s="1" t="s">
        <v>52</v>
      </c>
      <c r="F79" s="1">
        <v>10688.0</v>
      </c>
      <c r="G79" s="1">
        <v>9058.0</v>
      </c>
      <c r="H79" s="1">
        <v>6913.0</v>
      </c>
      <c r="I79" s="7">
        <f>IFERROR(__xludf.DUMMYFUNCTION("SPLIT(B79,""T""""Z"")"),41109.0)</f>
        <v>41109</v>
      </c>
      <c r="J79" s="8">
        <f>IFERROR(__xludf.DUMMYFUNCTION("""COMPUTED_VALUE"""),0.40297453703703706)</f>
        <v>0.402974537</v>
      </c>
      <c r="K79" s="9">
        <f t="shared" si="1"/>
        <v>10</v>
      </c>
      <c r="L79" s="7">
        <f>IFERROR(__xludf.DUMMYFUNCTION("SPLIT(C79,""T""""Z"")"),44798.0)</f>
        <v>44798</v>
      </c>
      <c r="M79" s="8">
        <f>IFERROR(__xludf.DUMMYFUNCTION("""COMPUTED_VALUE"""),0.5909606481481482)</f>
        <v>0.5909606481</v>
      </c>
      <c r="N79" s="10">
        <f t="shared" si="2"/>
        <v>134.1830556</v>
      </c>
      <c r="O79" s="11">
        <f t="shared" si="3"/>
        <v>0.7631927578</v>
      </c>
    </row>
    <row r="80">
      <c r="A80" s="1" t="s">
        <v>266</v>
      </c>
      <c r="B80" s="1" t="s">
        <v>267</v>
      </c>
      <c r="C80" s="1" t="s">
        <v>268</v>
      </c>
      <c r="D80" s="1">
        <v>10.0</v>
      </c>
      <c r="E80" s="1" t="s">
        <v>48</v>
      </c>
      <c r="F80" s="1">
        <v>100.0</v>
      </c>
      <c r="G80" s="1">
        <v>1014.0</v>
      </c>
      <c r="H80" s="1">
        <v>456.0</v>
      </c>
      <c r="I80" s="7">
        <f>IFERROR(__xludf.DUMMYFUNCTION("SPLIT(B80,""T""""Z"")"),41605.0)</f>
        <v>41605</v>
      </c>
      <c r="J80" s="8">
        <f>IFERROR(__xludf.DUMMYFUNCTION("""COMPUTED_VALUE"""),0.556400462962963)</f>
        <v>0.556400463</v>
      </c>
      <c r="K80" s="9">
        <f t="shared" si="1"/>
        <v>8</v>
      </c>
      <c r="L80" s="7">
        <f>IFERROR(__xludf.DUMMYFUNCTION("SPLIT(C80,""T""""Z"")"),44798.0)</f>
        <v>44798</v>
      </c>
      <c r="M80" s="8">
        <f>IFERROR(__xludf.DUMMYFUNCTION("""COMPUTED_VALUE"""),0.5918171296296296)</f>
        <v>0.5918171296</v>
      </c>
      <c r="N80" s="10">
        <f t="shared" si="2"/>
        <v>134.2036111</v>
      </c>
      <c r="O80" s="11">
        <f t="shared" si="3"/>
        <v>0.449704142</v>
      </c>
    </row>
    <row r="81">
      <c r="A81" s="1" t="s">
        <v>269</v>
      </c>
      <c r="B81" s="1" t="s">
        <v>270</v>
      </c>
      <c r="C81" s="1" t="s">
        <v>271</v>
      </c>
      <c r="D81" s="1">
        <v>145.0</v>
      </c>
      <c r="E81" s="1" t="s">
        <v>95</v>
      </c>
      <c r="F81" s="1">
        <v>41.0</v>
      </c>
      <c r="G81" s="1">
        <v>26544.0</v>
      </c>
      <c r="H81" s="1">
        <v>26021.0</v>
      </c>
      <c r="I81" s="7">
        <f>IFERROR(__xludf.DUMMYFUNCTION("SPLIT(B81,""T""""Z"")"),41201.0)</f>
        <v>41201</v>
      </c>
      <c r="J81" s="8">
        <f>IFERROR(__xludf.DUMMYFUNCTION("""COMPUTED_VALUE"""),0.6270486111111111)</f>
        <v>0.6270486111</v>
      </c>
      <c r="K81" s="9">
        <f t="shared" si="1"/>
        <v>9</v>
      </c>
      <c r="L81" s="7">
        <f>IFERROR(__xludf.DUMMYFUNCTION("SPLIT(C81,""T""""Z"")"),44798.0)</f>
        <v>44798</v>
      </c>
      <c r="M81" s="8">
        <f>IFERROR(__xludf.DUMMYFUNCTION("""COMPUTED_VALUE"""),0.6044560185185185)</f>
        <v>0.6044560185</v>
      </c>
      <c r="N81" s="10">
        <f t="shared" si="2"/>
        <v>134.5069444</v>
      </c>
      <c r="O81" s="11">
        <f t="shared" si="3"/>
        <v>0.9802968656</v>
      </c>
    </row>
    <row r="82">
      <c r="A82" s="1" t="s">
        <v>272</v>
      </c>
      <c r="B82" s="1" t="s">
        <v>273</v>
      </c>
      <c r="C82" s="1" t="s">
        <v>274</v>
      </c>
      <c r="D82" s="1">
        <v>22.0</v>
      </c>
      <c r="E82" s="1" t="s">
        <v>124</v>
      </c>
      <c r="F82" s="1">
        <v>851.0</v>
      </c>
      <c r="G82" s="1">
        <v>1886.0</v>
      </c>
      <c r="H82" s="1">
        <v>1444.0</v>
      </c>
      <c r="I82" s="7">
        <f>IFERROR(__xludf.DUMMYFUNCTION("SPLIT(B82,""T""""Z"")"),41806.0)</f>
        <v>41806</v>
      </c>
      <c r="J82" s="8">
        <f>IFERROR(__xludf.DUMMYFUNCTION("""COMPUTED_VALUE"""),0.9982060185185185)</f>
        <v>0.9982060185</v>
      </c>
      <c r="K82" s="9">
        <f t="shared" si="1"/>
        <v>8</v>
      </c>
      <c r="L82" s="7">
        <f>IFERROR(__xludf.DUMMYFUNCTION("SPLIT(C82,""T""""Z"")"),44798.0)</f>
        <v>44798</v>
      </c>
      <c r="M82" s="8">
        <f>IFERROR(__xludf.DUMMYFUNCTION("""COMPUTED_VALUE"""),0.5990625)</f>
        <v>0.5990625</v>
      </c>
      <c r="N82" s="10">
        <f t="shared" si="2"/>
        <v>134.3775</v>
      </c>
      <c r="O82" s="11">
        <f t="shared" si="3"/>
        <v>0.7656415695</v>
      </c>
    </row>
    <row r="83">
      <c r="A83" s="1" t="s">
        <v>275</v>
      </c>
      <c r="B83" s="1" t="s">
        <v>276</v>
      </c>
      <c r="C83" s="1" t="s">
        <v>277</v>
      </c>
      <c r="D83" s="1">
        <v>0.0</v>
      </c>
      <c r="E83" s="1" t="s">
        <v>18</v>
      </c>
      <c r="F83" s="1">
        <v>2393.0</v>
      </c>
      <c r="G83" s="1">
        <v>4542.0</v>
      </c>
      <c r="H83" s="1">
        <v>3887.0</v>
      </c>
      <c r="I83" s="7">
        <f>IFERROR(__xludf.DUMMYFUNCTION("SPLIT(B83,""T""""Z"")"),42694.0)</f>
        <v>42694</v>
      </c>
      <c r="J83" s="8">
        <f>IFERROR(__xludf.DUMMYFUNCTION("""COMPUTED_VALUE"""),0.7590856481481482)</f>
        <v>0.7590856481</v>
      </c>
      <c r="K83" s="9">
        <f t="shared" si="1"/>
        <v>5</v>
      </c>
      <c r="L83" s="7">
        <f>IFERROR(__xludf.DUMMYFUNCTION("SPLIT(C83,""T""""Z"")"),44798.0)</f>
        <v>44798</v>
      </c>
      <c r="M83" s="8">
        <f>IFERROR(__xludf.DUMMYFUNCTION("""COMPUTED_VALUE"""),0.6020023148148148)</f>
        <v>0.6020023148</v>
      </c>
      <c r="N83" s="10">
        <f t="shared" si="2"/>
        <v>134.4480556</v>
      </c>
      <c r="O83" s="11">
        <f t="shared" si="3"/>
        <v>0.8557904007</v>
      </c>
    </row>
    <row r="84">
      <c r="A84" s="1" t="s">
        <v>278</v>
      </c>
      <c r="B84" s="1" t="s">
        <v>279</v>
      </c>
      <c r="C84" s="1" t="s">
        <v>280</v>
      </c>
      <c r="D84" s="1">
        <v>381.0</v>
      </c>
      <c r="E84" s="1" t="s">
        <v>48</v>
      </c>
      <c r="F84" s="1">
        <v>4180.0</v>
      </c>
      <c r="G84" s="1">
        <v>9172.0</v>
      </c>
      <c r="H84" s="1">
        <v>8983.0</v>
      </c>
      <c r="I84" s="7">
        <f>IFERROR(__xludf.DUMMYFUNCTION("SPLIT(B84,""T""""Z"")"),40978.0)</f>
        <v>40978</v>
      </c>
      <c r="J84" s="8">
        <f>IFERROR(__xludf.DUMMYFUNCTION("""COMPUTED_VALUE"""),0.42238425925925926)</f>
        <v>0.4223842593</v>
      </c>
      <c r="K84" s="9">
        <f t="shared" si="1"/>
        <v>10</v>
      </c>
      <c r="L84" s="7">
        <f>IFERROR(__xludf.DUMMYFUNCTION("SPLIT(C84,""T""""Z"")"),44798.0)</f>
        <v>44798</v>
      </c>
      <c r="M84" s="8">
        <f>IFERROR(__xludf.DUMMYFUNCTION("""COMPUTED_VALUE"""),0.4090625)</f>
        <v>0.4090625</v>
      </c>
      <c r="N84" s="10">
        <f t="shared" si="2"/>
        <v>129.8175</v>
      </c>
      <c r="O84" s="11">
        <f t="shared" si="3"/>
        <v>0.9793938072</v>
      </c>
    </row>
    <row r="85">
      <c r="A85" s="1" t="s">
        <v>281</v>
      </c>
      <c r="B85" s="1" t="s">
        <v>282</v>
      </c>
      <c r="C85" s="1" t="s">
        <v>283</v>
      </c>
      <c r="D85" s="1">
        <v>38.0</v>
      </c>
      <c r="E85" s="1" t="s">
        <v>48</v>
      </c>
      <c r="F85" s="1">
        <v>365.0</v>
      </c>
      <c r="G85" s="1">
        <v>2156.0</v>
      </c>
      <c r="H85" s="1">
        <v>1524.0</v>
      </c>
      <c r="I85" s="7">
        <f>IFERROR(__xludf.DUMMYFUNCTION("SPLIT(B85,""T""""Z"")"),40701.0)</f>
        <v>40701</v>
      </c>
      <c r="J85" s="8">
        <f>IFERROR(__xludf.DUMMYFUNCTION("""COMPUTED_VALUE"""),0.7877546296296296)</f>
        <v>0.7877546296</v>
      </c>
      <c r="K85" s="9">
        <f t="shared" si="1"/>
        <v>11</v>
      </c>
      <c r="L85" s="7">
        <f>IFERROR(__xludf.DUMMYFUNCTION("SPLIT(C85,""T""""Z"")"),44798.0)</f>
        <v>44798</v>
      </c>
      <c r="M85" s="8">
        <f>IFERROR(__xludf.DUMMYFUNCTION("""COMPUTED_VALUE"""),0.3582638888888889)</f>
        <v>0.3582638889</v>
      </c>
      <c r="N85" s="10">
        <f t="shared" si="2"/>
        <v>128.5983333</v>
      </c>
      <c r="O85" s="11">
        <f t="shared" si="3"/>
        <v>0.706864564</v>
      </c>
    </row>
    <row r="86">
      <c r="A86" s="1" t="s">
        <v>284</v>
      </c>
      <c r="B86" s="1" t="s">
        <v>285</v>
      </c>
      <c r="C86" s="1" t="s">
        <v>286</v>
      </c>
      <c r="D86" s="1">
        <v>1.0</v>
      </c>
      <c r="E86" s="13" t="s">
        <v>22</v>
      </c>
      <c r="F86" s="1">
        <v>172.0</v>
      </c>
      <c r="G86" s="1">
        <v>136.0</v>
      </c>
      <c r="H86" s="1">
        <v>132.0</v>
      </c>
      <c r="I86" s="7">
        <f>IFERROR(__xludf.DUMMYFUNCTION("SPLIT(B86,""T""""Z"")"),43024.0)</f>
        <v>43024</v>
      </c>
      <c r="J86" s="8">
        <f>IFERROR(__xludf.DUMMYFUNCTION("""COMPUTED_VALUE"""),0.42541666666666667)</f>
        <v>0.4254166667</v>
      </c>
      <c r="K86" s="9">
        <f t="shared" si="1"/>
        <v>4</v>
      </c>
      <c r="L86" s="7">
        <f>IFERROR(__xludf.DUMMYFUNCTION("SPLIT(C86,""T""""Z"")"),44798.0)</f>
        <v>44798</v>
      </c>
      <c r="M86" s="8">
        <f>IFERROR(__xludf.DUMMYFUNCTION("""COMPUTED_VALUE"""),0.5630902777777778)</f>
        <v>0.5630902778</v>
      </c>
      <c r="N86" s="12">
        <f t="shared" si="2"/>
        <v>133.5141667</v>
      </c>
      <c r="O86" s="11">
        <f t="shared" si="3"/>
        <v>0.9705882353</v>
      </c>
    </row>
    <row r="87">
      <c r="A87" s="1" t="s">
        <v>287</v>
      </c>
      <c r="B87" s="1" t="s">
        <v>288</v>
      </c>
      <c r="C87" s="1" t="s">
        <v>289</v>
      </c>
      <c r="D87" s="1">
        <v>0.0</v>
      </c>
      <c r="E87" s="13" t="s">
        <v>22</v>
      </c>
      <c r="F87" s="1">
        <v>86.0</v>
      </c>
      <c r="G87" s="1">
        <v>42.0</v>
      </c>
      <c r="H87" s="1">
        <v>17.0</v>
      </c>
      <c r="I87" s="7">
        <f>IFERROR(__xludf.DUMMYFUNCTION("SPLIT(B87,""T""""Z"")"),42971.0)</f>
        <v>42971</v>
      </c>
      <c r="J87" s="8">
        <f>IFERROR(__xludf.DUMMYFUNCTION("""COMPUTED_VALUE"""),0.5544675925925926)</f>
        <v>0.5544675926</v>
      </c>
      <c r="K87" s="9">
        <f t="shared" si="1"/>
        <v>5</v>
      </c>
      <c r="L87" s="7">
        <f>IFERROR(__xludf.DUMMYFUNCTION("SPLIT(C87,""T""""Z"")"),44798.0)</f>
        <v>44798</v>
      </c>
      <c r="M87" s="8">
        <f>IFERROR(__xludf.DUMMYFUNCTION("""COMPUTED_VALUE"""),0.593599537037037)</f>
        <v>0.593599537</v>
      </c>
      <c r="N87" s="12">
        <f t="shared" si="2"/>
        <v>134.2463889</v>
      </c>
      <c r="O87" s="11">
        <f t="shared" si="3"/>
        <v>0.4047619048</v>
      </c>
    </row>
    <row r="88">
      <c r="A88" s="1" t="s">
        <v>290</v>
      </c>
      <c r="B88" s="1" t="s">
        <v>291</v>
      </c>
      <c r="C88" s="1" t="s">
        <v>292</v>
      </c>
      <c r="D88" s="1">
        <v>198.0</v>
      </c>
      <c r="E88" s="1" t="s">
        <v>124</v>
      </c>
      <c r="F88" s="1">
        <v>1752.0</v>
      </c>
      <c r="G88" s="1">
        <v>6093.0</v>
      </c>
      <c r="H88" s="1">
        <v>5512.0</v>
      </c>
      <c r="I88" s="7">
        <f>IFERROR(__xludf.DUMMYFUNCTION("SPLIT(B88,""T""""Z"")"),41459.0)</f>
        <v>41459</v>
      </c>
      <c r="J88" s="8">
        <f>IFERROR(__xludf.DUMMYFUNCTION("""COMPUTED_VALUE"""),0.6433564814814815)</f>
        <v>0.6433564815</v>
      </c>
      <c r="K88" s="9">
        <f t="shared" si="1"/>
        <v>9</v>
      </c>
      <c r="L88" s="7">
        <f>IFERROR(__xludf.DUMMYFUNCTION("SPLIT(C88,""T""""Z"")"),44798.0)</f>
        <v>44798</v>
      </c>
      <c r="M88" s="8">
        <f>IFERROR(__xludf.DUMMYFUNCTION("""COMPUTED_VALUE"""),0.6027546296296297)</f>
        <v>0.6027546296</v>
      </c>
      <c r="N88" s="10">
        <f t="shared" si="2"/>
        <v>134.4661111</v>
      </c>
      <c r="O88" s="11">
        <f t="shared" si="3"/>
        <v>0.9046446742</v>
      </c>
    </row>
    <row r="89">
      <c r="A89" s="1" t="s">
        <v>293</v>
      </c>
      <c r="B89" s="1" t="s">
        <v>294</v>
      </c>
      <c r="C89" s="1" t="s">
        <v>295</v>
      </c>
      <c r="D89" s="1">
        <v>95.0</v>
      </c>
      <c r="E89" s="1" t="s">
        <v>95</v>
      </c>
      <c r="F89" s="1">
        <v>50661.0</v>
      </c>
      <c r="G89" s="1">
        <v>30570.0</v>
      </c>
      <c r="H89" s="1">
        <v>27132.0</v>
      </c>
      <c r="I89" s="7">
        <f>IFERROR(__xludf.DUMMYFUNCTION("SPLIT(B89,""T""""Z"")"),40217.0)</f>
        <v>40217</v>
      </c>
      <c r="J89" s="8">
        <f>IFERROR(__xludf.DUMMYFUNCTION("""COMPUTED_VALUE"""),0.5562037037037038)</f>
        <v>0.5562037037</v>
      </c>
      <c r="K89" s="9">
        <f t="shared" si="1"/>
        <v>12</v>
      </c>
      <c r="L89" s="7">
        <f>IFERROR(__xludf.DUMMYFUNCTION("SPLIT(C89,""T""""Z"")"),44798.0)</f>
        <v>44798</v>
      </c>
      <c r="M89" s="8">
        <f>IFERROR(__xludf.DUMMYFUNCTION("""COMPUTED_VALUE"""),0.5615393518518519)</f>
        <v>0.5615393519</v>
      </c>
      <c r="N89" s="10">
        <f t="shared" si="2"/>
        <v>133.4769444</v>
      </c>
      <c r="O89" s="11">
        <f t="shared" si="3"/>
        <v>0.8875368008</v>
      </c>
    </row>
    <row r="90">
      <c r="A90" s="1" t="s">
        <v>296</v>
      </c>
      <c r="B90" s="1" t="s">
        <v>297</v>
      </c>
      <c r="C90" s="1" t="s">
        <v>298</v>
      </c>
      <c r="D90" s="1">
        <v>2.0</v>
      </c>
      <c r="E90" s="1" t="s">
        <v>95</v>
      </c>
      <c r="F90" s="1">
        <v>0.0</v>
      </c>
      <c r="G90" s="1">
        <v>435.0</v>
      </c>
      <c r="H90" s="1">
        <v>411.0</v>
      </c>
      <c r="I90" s="7">
        <f>IFERROR(__xludf.DUMMYFUNCTION("SPLIT(B90,""T""""Z"")"),43194.0)</f>
        <v>43194</v>
      </c>
      <c r="J90" s="8">
        <f>IFERROR(__xludf.DUMMYFUNCTION("""COMPUTED_VALUE"""),0.04981481481481481)</f>
        <v>0.04981481481</v>
      </c>
      <c r="K90" s="9">
        <f t="shared" si="1"/>
        <v>4</v>
      </c>
      <c r="L90" s="7">
        <f>IFERROR(__xludf.DUMMYFUNCTION("SPLIT(C90,""T""""Z"")"),44798.0)</f>
        <v>44798</v>
      </c>
      <c r="M90" s="8">
        <f>IFERROR(__xludf.DUMMYFUNCTION("""COMPUTED_VALUE"""),0.6047569444444445)</f>
        <v>0.6047569444</v>
      </c>
      <c r="N90" s="10">
        <f t="shared" si="2"/>
        <v>134.5141667</v>
      </c>
      <c r="O90" s="11">
        <f t="shared" si="3"/>
        <v>0.9448275862</v>
      </c>
    </row>
    <row r="91">
      <c r="A91" s="1" t="s">
        <v>299</v>
      </c>
      <c r="B91" s="1" t="s">
        <v>300</v>
      </c>
      <c r="C91" s="1" t="s">
        <v>301</v>
      </c>
      <c r="D91" s="1">
        <v>60.0</v>
      </c>
      <c r="E91" s="1" t="s">
        <v>68</v>
      </c>
      <c r="F91" s="1">
        <v>654.0</v>
      </c>
      <c r="G91" s="1">
        <v>1789.0</v>
      </c>
      <c r="H91" s="1">
        <v>1490.0</v>
      </c>
      <c r="I91" s="7">
        <f>IFERROR(__xludf.DUMMYFUNCTION("SPLIT(B91,""T""""Z"")"),40283.0)</f>
        <v>40283</v>
      </c>
      <c r="J91" s="8">
        <f>IFERROR(__xludf.DUMMYFUNCTION("""COMPUTED_VALUE"""),0.7415162037037037)</f>
        <v>0.7415162037</v>
      </c>
      <c r="K91" s="9">
        <f t="shared" si="1"/>
        <v>12</v>
      </c>
      <c r="L91" s="7">
        <f>IFERROR(__xludf.DUMMYFUNCTION("SPLIT(C91,""T""""Z"")"),44798.0)</f>
        <v>44798</v>
      </c>
      <c r="M91" s="8">
        <f>IFERROR(__xludf.DUMMYFUNCTION("""COMPUTED_VALUE"""),0.6028356481481482)</f>
        <v>0.6028356481</v>
      </c>
      <c r="N91" s="10">
        <f t="shared" si="2"/>
        <v>134.4680556</v>
      </c>
      <c r="O91" s="11">
        <f t="shared" si="3"/>
        <v>0.8328675238</v>
      </c>
    </row>
    <row r="92">
      <c r="A92" s="1" t="s">
        <v>302</v>
      </c>
      <c r="B92" s="1" t="s">
        <v>303</v>
      </c>
      <c r="C92" s="1" t="s">
        <v>304</v>
      </c>
      <c r="D92" s="1">
        <v>41.0</v>
      </c>
      <c r="E92" s="1" t="s">
        <v>52</v>
      </c>
      <c r="F92" s="1">
        <v>38848.0</v>
      </c>
      <c r="G92" s="1">
        <v>12780.0</v>
      </c>
      <c r="H92" s="1">
        <v>7277.0</v>
      </c>
      <c r="I92" s="7">
        <f>IFERROR(__xludf.DUMMYFUNCTION("SPLIT(B92,""T""""Z"")"),42300.0)</f>
        <v>42300</v>
      </c>
      <c r="J92" s="8">
        <f>IFERROR(__xludf.DUMMYFUNCTION("""COMPUTED_VALUE"""),0.8854976851851852)</f>
        <v>0.8854976852</v>
      </c>
      <c r="K92" s="9">
        <f t="shared" si="1"/>
        <v>6</v>
      </c>
      <c r="L92" s="7">
        <f>IFERROR(__xludf.DUMMYFUNCTION("SPLIT(C92,""T""""Z"")"),44798.0)</f>
        <v>44798</v>
      </c>
      <c r="M92" s="8">
        <f>IFERROR(__xludf.DUMMYFUNCTION("""COMPUTED_VALUE"""),0.5984490740740741)</f>
        <v>0.5984490741</v>
      </c>
      <c r="N92" s="10">
        <f t="shared" si="2"/>
        <v>134.3627778</v>
      </c>
      <c r="O92" s="11">
        <f t="shared" si="3"/>
        <v>0.5694053208</v>
      </c>
    </row>
    <row r="93">
      <c r="A93" s="1" t="s">
        <v>305</v>
      </c>
      <c r="B93" s="1" t="s">
        <v>306</v>
      </c>
      <c r="C93" s="1" t="s">
        <v>307</v>
      </c>
      <c r="D93" s="1">
        <v>57.0</v>
      </c>
      <c r="E93" s="1" t="s">
        <v>88</v>
      </c>
      <c r="F93" s="1">
        <v>5688.0</v>
      </c>
      <c r="G93" s="1">
        <v>6937.0</v>
      </c>
      <c r="H93" s="1">
        <v>6767.0</v>
      </c>
      <c r="I93" s="7">
        <f>IFERROR(__xludf.DUMMYFUNCTION("SPLIT(B93,""T""""Z"")"),41442.0)</f>
        <v>41442</v>
      </c>
      <c r="J93" s="8">
        <f>IFERROR(__xludf.DUMMYFUNCTION("""COMPUTED_VALUE"""),0.7771990740740741)</f>
        <v>0.7771990741</v>
      </c>
      <c r="K93" s="9">
        <f t="shared" si="1"/>
        <v>9</v>
      </c>
      <c r="L93" s="7">
        <f>IFERROR(__xludf.DUMMYFUNCTION("SPLIT(C93,""T""""Z"")"),44798.0)</f>
        <v>44798</v>
      </c>
      <c r="M93" s="8">
        <f>IFERROR(__xludf.DUMMYFUNCTION("""COMPUTED_VALUE"""),0.5250231481481481)</f>
        <v>0.5250231481</v>
      </c>
      <c r="N93" s="10">
        <f t="shared" si="2"/>
        <v>132.6005556</v>
      </c>
      <c r="O93" s="11">
        <f t="shared" si="3"/>
        <v>0.9754937293</v>
      </c>
    </row>
    <row r="94">
      <c r="A94" s="1" t="s">
        <v>308</v>
      </c>
      <c r="B94" s="1" t="s">
        <v>309</v>
      </c>
      <c r="C94" s="1" t="s">
        <v>310</v>
      </c>
      <c r="D94" s="1">
        <v>23.0</v>
      </c>
      <c r="E94" s="1" t="s">
        <v>38</v>
      </c>
      <c r="F94" s="1">
        <v>1399.0</v>
      </c>
      <c r="G94" s="1">
        <v>2384.0</v>
      </c>
      <c r="H94" s="1">
        <v>2383.0</v>
      </c>
      <c r="I94" s="7">
        <f>IFERROR(__xludf.DUMMYFUNCTION("SPLIT(B94,""T""""Z"")"),40274.0)</f>
        <v>40274</v>
      </c>
      <c r="J94" s="8">
        <f>IFERROR(__xludf.DUMMYFUNCTION("""COMPUTED_VALUE"""),0.4666550925925926)</f>
        <v>0.4666550926</v>
      </c>
      <c r="K94" s="9">
        <f t="shared" si="1"/>
        <v>12</v>
      </c>
      <c r="L94" s="7">
        <f>IFERROR(__xludf.DUMMYFUNCTION("SPLIT(C94,""T""""Z"")"),44798.0)</f>
        <v>44798</v>
      </c>
      <c r="M94" s="8">
        <f>IFERROR(__xludf.DUMMYFUNCTION("""COMPUTED_VALUE"""),0.5448379629629629)</f>
        <v>0.544837963</v>
      </c>
      <c r="N94" s="10">
        <f t="shared" si="2"/>
        <v>133.0761111</v>
      </c>
      <c r="O94" s="11">
        <f t="shared" si="3"/>
        <v>0.9995805369</v>
      </c>
    </row>
    <row r="95">
      <c r="A95" s="1" t="s">
        <v>311</v>
      </c>
      <c r="B95" s="1" t="s">
        <v>312</v>
      </c>
      <c r="C95" s="1" t="s">
        <v>313</v>
      </c>
      <c r="D95" s="1">
        <v>201.0</v>
      </c>
      <c r="E95" s="1" t="s">
        <v>48</v>
      </c>
      <c r="F95" s="1">
        <v>1482.0</v>
      </c>
      <c r="G95" s="1">
        <v>2477.0</v>
      </c>
      <c r="H95" s="1">
        <v>2466.0</v>
      </c>
      <c r="I95" s="7">
        <f>IFERROR(__xludf.DUMMYFUNCTION("SPLIT(B95,""T""""Z"")"),43014.0)</f>
        <v>43014</v>
      </c>
      <c r="J95" s="8">
        <f>IFERROR(__xludf.DUMMYFUNCTION("""COMPUTED_VALUE"""),0.6244675925925925)</f>
        <v>0.6244675926</v>
      </c>
      <c r="K95" s="9">
        <f t="shared" si="1"/>
        <v>4</v>
      </c>
      <c r="L95" s="7">
        <f>IFERROR(__xludf.DUMMYFUNCTION("SPLIT(C95,""T""""Z"")"),44798.0)</f>
        <v>44798</v>
      </c>
      <c r="M95" s="8">
        <f>IFERROR(__xludf.DUMMYFUNCTION("""COMPUTED_VALUE"""),0.6089699074074074)</f>
        <v>0.6089699074</v>
      </c>
      <c r="N95" s="10">
        <f t="shared" si="2"/>
        <v>134.6152778</v>
      </c>
      <c r="O95" s="11">
        <f t="shared" si="3"/>
        <v>0.9955591441</v>
      </c>
    </row>
    <row r="96">
      <c r="A96" s="1" t="s">
        <v>314</v>
      </c>
      <c r="B96" s="1" t="s">
        <v>315</v>
      </c>
      <c r="C96" s="1" t="s">
        <v>316</v>
      </c>
      <c r="D96" s="1">
        <v>0.0</v>
      </c>
      <c r="E96" s="1" t="s">
        <v>48</v>
      </c>
      <c r="F96" s="1">
        <v>789.0</v>
      </c>
      <c r="G96" s="1">
        <v>9040.0</v>
      </c>
      <c r="H96" s="1">
        <v>8649.0</v>
      </c>
      <c r="I96" s="7">
        <f>IFERROR(__xludf.DUMMYFUNCTION("SPLIT(B96,""T""""Z"")"),40184.0)</f>
        <v>40184</v>
      </c>
      <c r="J96" s="8">
        <f>IFERROR(__xludf.DUMMYFUNCTION("""COMPUTED_VALUE"""),0.024039351851851853)</f>
        <v>0.02403935185</v>
      </c>
      <c r="K96" s="9">
        <f t="shared" si="1"/>
        <v>12</v>
      </c>
      <c r="L96" s="7">
        <f>IFERROR(__xludf.DUMMYFUNCTION("SPLIT(C96,""T""""Z"")"),44798.0)</f>
        <v>44798</v>
      </c>
      <c r="M96" s="8">
        <f>IFERROR(__xludf.DUMMYFUNCTION("""COMPUTED_VALUE"""),0.5638773148148148)</f>
        <v>0.5638773148</v>
      </c>
      <c r="N96" s="10">
        <f t="shared" si="2"/>
        <v>133.5330556</v>
      </c>
      <c r="O96" s="11">
        <f t="shared" si="3"/>
        <v>0.9567477876</v>
      </c>
    </row>
    <row r="97">
      <c r="A97" s="1" t="s">
        <v>317</v>
      </c>
      <c r="B97" s="1" t="s">
        <v>318</v>
      </c>
      <c r="C97" s="1" t="s">
        <v>319</v>
      </c>
      <c r="D97" s="1">
        <v>73.0</v>
      </c>
      <c r="E97" s="1" t="s">
        <v>124</v>
      </c>
      <c r="F97" s="1">
        <v>391.0</v>
      </c>
      <c r="G97" s="1">
        <v>2461.0</v>
      </c>
      <c r="H97" s="1">
        <v>2355.0</v>
      </c>
      <c r="I97" s="7">
        <f>IFERROR(__xludf.DUMMYFUNCTION("SPLIT(B97,""T""""Z"")"),42359.0)</f>
        <v>42359</v>
      </c>
      <c r="J97" s="8">
        <f>IFERROR(__xludf.DUMMYFUNCTION("""COMPUTED_VALUE"""),0.642349537037037)</f>
        <v>0.642349537</v>
      </c>
      <c r="K97" s="9">
        <f t="shared" si="1"/>
        <v>6</v>
      </c>
      <c r="L97" s="7">
        <f>IFERROR(__xludf.DUMMYFUNCTION("SPLIT(C97,""T""""Z"")"),44798.0)</f>
        <v>44798</v>
      </c>
      <c r="M97" s="8">
        <f>IFERROR(__xludf.DUMMYFUNCTION("""COMPUTED_VALUE"""),0.6003819444444445)</f>
        <v>0.6003819444</v>
      </c>
      <c r="N97" s="10">
        <f t="shared" si="2"/>
        <v>134.4091667</v>
      </c>
      <c r="O97" s="11">
        <f t="shared" si="3"/>
        <v>0.956928078</v>
      </c>
    </row>
    <row r="98">
      <c r="A98" s="1" t="s">
        <v>320</v>
      </c>
      <c r="B98" s="1" t="s">
        <v>321</v>
      </c>
      <c r="C98" s="1" t="s">
        <v>322</v>
      </c>
      <c r="D98" s="1">
        <v>67.0</v>
      </c>
      <c r="E98" s="1" t="s">
        <v>18</v>
      </c>
      <c r="F98" s="1">
        <v>1543.0</v>
      </c>
      <c r="G98" s="1">
        <v>1963.0</v>
      </c>
      <c r="H98" s="1">
        <v>1922.0</v>
      </c>
      <c r="I98" s="7">
        <f>IFERROR(__xludf.DUMMYFUNCTION("SPLIT(B98,""T""""Z"")"),42153.0)</f>
        <v>42153</v>
      </c>
      <c r="J98" s="8">
        <f>IFERROR(__xludf.DUMMYFUNCTION("""COMPUTED_VALUE"""),0.9953125)</f>
        <v>0.9953125</v>
      </c>
      <c r="K98" s="9">
        <f t="shared" si="1"/>
        <v>7</v>
      </c>
      <c r="L98" s="7">
        <f>IFERROR(__xludf.DUMMYFUNCTION("SPLIT(C98,""T""""Z"")"),44798.0)</f>
        <v>44798</v>
      </c>
      <c r="M98" s="8">
        <f>IFERROR(__xludf.DUMMYFUNCTION("""COMPUTED_VALUE"""),0.4871875)</f>
        <v>0.4871875</v>
      </c>
      <c r="N98" s="10">
        <f t="shared" si="2"/>
        <v>131.6925</v>
      </c>
      <c r="O98" s="11">
        <f t="shared" si="3"/>
        <v>0.9791136016</v>
      </c>
    </row>
    <row r="99">
      <c r="A99" s="1" t="s">
        <v>323</v>
      </c>
      <c r="B99" s="1" t="s">
        <v>324</v>
      </c>
      <c r="C99" s="1" t="s">
        <v>325</v>
      </c>
      <c r="D99" s="1">
        <v>21.0</v>
      </c>
      <c r="E99" s="1" t="s">
        <v>38</v>
      </c>
      <c r="F99" s="1">
        <v>14.0</v>
      </c>
      <c r="G99" s="1">
        <v>2267.0</v>
      </c>
      <c r="H99" s="1">
        <v>2244.0</v>
      </c>
      <c r="I99" s="7">
        <f>IFERROR(__xludf.DUMMYFUNCTION("SPLIT(B99,""T""""Z"")"),42494.0)</f>
        <v>42494</v>
      </c>
      <c r="J99" s="8">
        <f>IFERROR(__xludf.DUMMYFUNCTION("""COMPUTED_VALUE"""),0.2667939814814815)</f>
        <v>0.2667939815</v>
      </c>
      <c r="K99" s="9">
        <f t="shared" si="1"/>
        <v>6</v>
      </c>
      <c r="L99" s="7">
        <f>IFERROR(__xludf.DUMMYFUNCTION("SPLIT(C99,""T""""Z"")"),44798.0)</f>
        <v>44798</v>
      </c>
      <c r="M99" s="8">
        <f>IFERROR(__xludf.DUMMYFUNCTION("""COMPUTED_VALUE"""),0.5790162037037037)</f>
        <v>0.5790162037</v>
      </c>
      <c r="N99" s="10">
        <f t="shared" si="2"/>
        <v>133.8963889</v>
      </c>
      <c r="O99" s="11">
        <f t="shared" si="3"/>
        <v>0.9898544332</v>
      </c>
    </row>
    <row r="100">
      <c r="A100" s="1" t="s">
        <v>326</v>
      </c>
      <c r="B100" s="1" t="s">
        <v>327</v>
      </c>
      <c r="C100" s="1" t="s">
        <v>328</v>
      </c>
      <c r="D100" s="1">
        <v>538.0</v>
      </c>
      <c r="E100" s="1" t="s">
        <v>48</v>
      </c>
      <c r="F100" s="1">
        <v>3928.0</v>
      </c>
      <c r="G100" s="1">
        <v>17044.0</v>
      </c>
      <c r="H100" s="1">
        <v>16129.0</v>
      </c>
      <c r="I100" s="7">
        <f>IFERROR(__xludf.DUMMYFUNCTION("SPLIT(B100,""T""""Z"")"),40928.0)</f>
        <v>40928</v>
      </c>
      <c r="J100" s="8">
        <f>IFERROR(__xludf.DUMMYFUNCTION("""COMPUTED_VALUE"""),0.7627430555555555)</f>
        <v>0.7627430556</v>
      </c>
      <c r="K100" s="9">
        <f t="shared" si="1"/>
        <v>10</v>
      </c>
      <c r="L100" s="7">
        <f>IFERROR(__xludf.DUMMYFUNCTION("SPLIT(C100,""T""""Z"")"),44798.0)</f>
        <v>44798</v>
      </c>
      <c r="M100" s="8">
        <f>IFERROR(__xludf.DUMMYFUNCTION("""COMPUTED_VALUE"""),0.5736111111111111)</f>
        <v>0.5736111111</v>
      </c>
      <c r="N100" s="10">
        <f t="shared" si="2"/>
        <v>133.7666667</v>
      </c>
      <c r="O100" s="11">
        <f t="shared" si="3"/>
        <v>0.9463154189</v>
      </c>
    </row>
    <row r="101">
      <c r="A101" s="1" t="s">
        <v>329</v>
      </c>
      <c r="B101" s="1" t="s">
        <v>330</v>
      </c>
      <c r="C101" s="1" t="s">
        <v>331</v>
      </c>
      <c r="D101" s="1">
        <v>0.0</v>
      </c>
      <c r="E101" s="1" t="s">
        <v>48</v>
      </c>
      <c r="F101" s="1">
        <v>84.0</v>
      </c>
      <c r="G101" s="1">
        <v>107.0</v>
      </c>
      <c r="H101" s="1">
        <v>59.0</v>
      </c>
      <c r="I101" s="7">
        <f>IFERROR(__xludf.DUMMYFUNCTION("SPLIT(B101,""T""""Z"")"),40580.0)</f>
        <v>40580</v>
      </c>
      <c r="J101" s="8">
        <f>IFERROR(__xludf.DUMMYFUNCTION("""COMPUTED_VALUE"""),0.5693865740740741)</f>
        <v>0.5693865741</v>
      </c>
      <c r="K101" s="9">
        <f t="shared" si="1"/>
        <v>11</v>
      </c>
      <c r="L101" s="7">
        <f>IFERROR(__xludf.DUMMYFUNCTION("SPLIT(C101,""T""""Z"")"),44798.0)</f>
        <v>44798</v>
      </c>
      <c r="M101" s="8">
        <f>IFERROR(__xludf.DUMMYFUNCTION("""COMPUTED_VALUE"""),0.5997106481481481)</f>
        <v>0.5997106481</v>
      </c>
      <c r="N101" s="10">
        <f t="shared" si="2"/>
        <v>134.3930556</v>
      </c>
      <c r="O101" s="11">
        <f t="shared" si="3"/>
        <v>0.5514018692</v>
      </c>
    </row>
    <row r="102">
      <c r="A102" s="1" t="s">
        <v>332</v>
      </c>
      <c r="B102" s="1" t="s">
        <v>333</v>
      </c>
      <c r="C102" s="1" t="s">
        <v>334</v>
      </c>
      <c r="D102" s="1">
        <v>41.0</v>
      </c>
      <c r="E102" s="1" t="s">
        <v>52</v>
      </c>
      <c r="F102" s="1">
        <v>5171.0</v>
      </c>
      <c r="G102" s="1">
        <v>27894.0</v>
      </c>
      <c r="H102" s="1">
        <v>18804.0</v>
      </c>
      <c r="I102" s="7">
        <f>IFERROR(__xludf.DUMMYFUNCTION("SPLIT(B102,""T""""Z"")"),42595.0)</f>
        <v>42595</v>
      </c>
      <c r="J102" s="8">
        <f>IFERROR(__xludf.DUMMYFUNCTION("""COMPUTED_VALUE"""),0.22686342592592593)</f>
        <v>0.2268634259</v>
      </c>
      <c r="K102" s="9">
        <f t="shared" si="1"/>
        <v>6</v>
      </c>
      <c r="L102" s="7">
        <f>IFERROR(__xludf.DUMMYFUNCTION("SPLIT(C102,""T""""Z"")"),44798.0)</f>
        <v>44798</v>
      </c>
      <c r="M102" s="8">
        <f>IFERROR(__xludf.DUMMYFUNCTION("""COMPUTED_VALUE"""),0.5925925925925926)</f>
        <v>0.5925925926</v>
      </c>
      <c r="N102" s="10">
        <f t="shared" si="2"/>
        <v>134.2222222</v>
      </c>
      <c r="O102" s="11">
        <f t="shared" si="3"/>
        <v>0.6741234674</v>
      </c>
    </row>
    <row r="103">
      <c r="A103" s="1" t="s">
        <v>335</v>
      </c>
      <c r="B103" s="1" t="s">
        <v>336</v>
      </c>
      <c r="C103" s="1" t="s">
        <v>337</v>
      </c>
      <c r="D103" s="1">
        <v>146.0</v>
      </c>
      <c r="E103" s="1" t="s">
        <v>48</v>
      </c>
      <c r="F103" s="1">
        <v>257.0</v>
      </c>
      <c r="G103" s="1">
        <v>3693.0</v>
      </c>
      <c r="H103" s="1">
        <v>3587.0</v>
      </c>
      <c r="I103" s="7">
        <f>IFERROR(__xludf.DUMMYFUNCTION("SPLIT(B103,""T""""Z"")"),39990.0)</f>
        <v>39990</v>
      </c>
      <c r="J103" s="8">
        <f>IFERROR(__xludf.DUMMYFUNCTION("""COMPUTED_VALUE"""),0.788900462962963)</f>
        <v>0.788900463</v>
      </c>
      <c r="K103" s="9">
        <f t="shared" si="1"/>
        <v>13</v>
      </c>
      <c r="L103" s="7">
        <f>IFERROR(__xludf.DUMMYFUNCTION("SPLIT(C103,""T""""Z"")"),44798.0)</f>
        <v>44798</v>
      </c>
      <c r="M103" s="8">
        <f>IFERROR(__xludf.DUMMYFUNCTION("""COMPUTED_VALUE"""),0.5975925925925926)</f>
        <v>0.5975925926</v>
      </c>
      <c r="N103" s="10">
        <f t="shared" si="2"/>
        <v>134.3422222</v>
      </c>
      <c r="O103" s="11">
        <f t="shared" si="3"/>
        <v>0.9712970485</v>
      </c>
    </row>
    <row r="104">
      <c r="A104" s="1" t="s">
        <v>338</v>
      </c>
      <c r="B104" s="1" t="s">
        <v>339</v>
      </c>
      <c r="C104" s="1" t="s">
        <v>340</v>
      </c>
      <c r="D104" s="1">
        <v>0.0</v>
      </c>
      <c r="E104" s="1" t="s">
        <v>95</v>
      </c>
      <c r="F104" s="1">
        <v>42.0</v>
      </c>
      <c r="G104" s="1">
        <v>49.0</v>
      </c>
      <c r="H104" s="1">
        <v>19.0</v>
      </c>
      <c r="I104" s="7">
        <f>IFERROR(__xludf.DUMMYFUNCTION("SPLIT(B104,""T""""Z"")"),42780.0)</f>
        <v>42780</v>
      </c>
      <c r="J104" s="8">
        <f>IFERROR(__xludf.DUMMYFUNCTION("""COMPUTED_VALUE"""),0.7634837962962963)</f>
        <v>0.7634837963</v>
      </c>
      <c r="K104" s="9">
        <f t="shared" si="1"/>
        <v>5</v>
      </c>
      <c r="L104" s="7">
        <f>IFERROR(__xludf.DUMMYFUNCTION("SPLIT(C104,""T""""Z"")"),44798.0)</f>
        <v>44798</v>
      </c>
      <c r="M104" s="8">
        <f>IFERROR(__xludf.DUMMYFUNCTION("""COMPUTED_VALUE"""),0.4967476851851852)</f>
        <v>0.4967476852</v>
      </c>
      <c r="N104" s="10">
        <f t="shared" si="2"/>
        <v>131.9219444</v>
      </c>
      <c r="O104" s="11">
        <f t="shared" si="3"/>
        <v>0.387755102</v>
      </c>
    </row>
    <row r="105">
      <c r="A105" s="1" t="s">
        <v>341</v>
      </c>
      <c r="B105" s="1" t="s">
        <v>342</v>
      </c>
      <c r="C105" s="1" t="s">
        <v>343</v>
      </c>
      <c r="D105" s="1">
        <v>91.0</v>
      </c>
      <c r="E105" s="1" t="s">
        <v>48</v>
      </c>
      <c r="F105" s="1">
        <v>2718.0</v>
      </c>
      <c r="G105" s="1">
        <v>6527.0</v>
      </c>
      <c r="H105" s="1">
        <v>6373.0</v>
      </c>
      <c r="I105" s="7">
        <f>IFERROR(__xludf.DUMMYFUNCTION("SPLIT(B105,""T""""Z"")"),41350.0)</f>
        <v>41350</v>
      </c>
      <c r="J105" s="8">
        <f>IFERROR(__xludf.DUMMYFUNCTION("""COMPUTED_VALUE"""),0.9976388888888889)</f>
        <v>0.9976388889</v>
      </c>
      <c r="K105" s="9">
        <f t="shared" si="1"/>
        <v>9</v>
      </c>
      <c r="L105" s="7">
        <f>IFERROR(__xludf.DUMMYFUNCTION("SPLIT(C105,""T""""Z"")"),44798.0)</f>
        <v>44798</v>
      </c>
      <c r="M105" s="8">
        <f>IFERROR(__xludf.DUMMYFUNCTION("""COMPUTED_VALUE"""),0.42618055555555556)</f>
        <v>0.4261805556</v>
      </c>
      <c r="N105" s="10">
        <f t="shared" si="2"/>
        <v>130.2283333</v>
      </c>
      <c r="O105" s="11">
        <f t="shared" si="3"/>
        <v>0.9764056994</v>
      </c>
    </row>
    <row r="106">
      <c r="A106" s="1" t="s">
        <v>344</v>
      </c>
      <c r="B106" s="1" t="s">
        <v>345</v>
      </c>
      <c r="C106" s="1" t="s">
        <v>346</v>
      </c>
      <c r="D106" s="1">
        <v>0.0</v>
      </c>
      <c r="E106" s="1" t="s">
        <v>347</v>
      </c>
      <c r="F106" s="1">
        <v>1928.0</v>
      </c>
      <c r="G106" s="1">
        <v>0.0</v>
      </c>
      <c r="H106" s="1">
        <v>0.0</v>
      </c>
      <c r="I106" s="7">
        <f>IFERROR(__xludf.DUMMYFUNCTION("SPLIT(B106,""T""""Z"")"),42081.0)</f>
        <v>42081</v>
      </c>
      <c r="J106" s="8">
        <f>IFERROR(__xludf.DUMMYFUNCTION("""COMPUTED_VALUE"""),0.8794675925925926)</f>
        <v>0.8794675926</v>
      </c>
      <c r="K106" s="9">
        <f t="shared" si="1"/>
        <v>7</v>
      </c>
      <c r="L106" s="7">
        <f>IFERROR(__xludf.DUMMYFUNCTION("SPLIT(C106,""T""""Z"")"),44798.0)</f>
        <v>44798</v>
      </c>
      <c r="M106" s="8">
        <f>IFERROR(__xludf.DUMMYFUNCTION("""COMPUTED_VALUE"""),0.5852199074074074)</f>
        <v>0.5852199074</v>
      </c>
      <c r="N106" s="10">
        <f t="shared" si="2"/>
        <v>134.0452778</v>
      </c>
      <c r="O106" s="11">
        <f t="shared" si="3"/>
        <v>0</v>
      </c>
    </row>
    <row r="107">
      <c r="A107" s="1" t="s">
        <v>348</v>
      </c>
      <c r="B107" s="1" t="s">
        <v>349</v>
      </c>
      <c r="C107" s="1" t="s">
        <v>350</v>
      </c>
      <c r="D107" s="1">
        <v>27.0</v>
      </c>
      <c r="E107" s="1" t="s">
        <v>351</v>
      </c>
      <c r="F107" s="1">
        <v>7766.0</v>
      </c>
      <c r="G107" s="1">
        <v>8510.0</v>
      </c>
      <c r="H107" s="1">
        <v>7302.0</v>
      </c>
      <c r="I107" s="7">
        <f>IFERROR(__xludf.DUMMYFUNCTION("SPLIT(B107,""T""""Z"")"),41670.0)</f>
        <v>41670</v>
      </c>
      <c r="J107" s="8">
        <f>IFERROR(__xludf.DUMMYFUNCTION("""COMPUTED_VALUE"""),0.5690046296296296)</f>
        <v>0.5690046296</v>
      </c>
      <c r="K107" s="9">
        <f t="shared" si="1"/>
        <v>8</v>
      </c>
      <c r="L107" s="7">
        <f>IFERROR(__xludf.DUMMYFUNCTION("SPLIT(C107,""T""""Z"")"),44798.0)</f>
        <v>44798</v>
      </c>
      <c r="M107" s="8">
        <f>IFERROR(__xludf.DUMMYFUNCTION("""COMPUTED_VALUE"""),0.6079745370370371)</f>
        <v>0.607974537</v>
      </c>
      <c r="N107" s="10">
        <f t="shared" si="2"/>
        <v>134.5913889</v>
      </c>
      <c r="O107" s="11">
        <f t="shared" si="3"/>
        <v>0.8580493537</v>
      </c>
    </row>
    <row r="108">
      <c r="A108" s="1" t="s">
        <v>352</v>
      </c>
      <c r="B108" s="1" t="s">
        <v>353</v>
      </c>
      <c r="C108" s="1" t="s">
        <v>354</v>
      </c>
      <c r="D108" s="1">
        <v>0.0</v>
      </c>
      <c r="E108" s="13" t="s">
        <v>22</v>
      </c>
      <c r="F108" s="1">
        <v>149.0</v>
      </c>
      <c r="G108" s="1">
        <v>78.0</v>
      </c>
      <c r="H108" s="1">
        <v>32.0</v>
      </c>
      <c r="I108" s="7">
        <f>IFERROR(__xludf.DUMMYFUNCTION("SPLIT(B108,""T""""Z"")"),43521.0)</f>
        <v>43521</v>
      </c>
      <c r="J108" s="8">
        <f>IFERROR(__xludf.DUMMYFUNCTION("""COMPUTED_VALUE"""),0.7756481481481482)</f>
        <v>0.7756481481</v>
      </c>
      <c r="K108" s="9">
        <f t="shared" si="1"/>
        <v>3</v>
      </c>
      <c r="L108" s="7">
        <f>IFERROR(__xludf.DUMMYFUNCTION("SPLIT(C108,""T""""Z"")"),44798.0)</f>
        <v>44798</v>
      </c>
      <c r="M108" s="8">
        <f>IFERROR(__xludf.DUMMYFUNCTION("""COMPUTED_VALUE"""),0.607662037037037)</f>
        <v>0.607662037</v>
      </c>
      <c r="N108" s="12">
        <f t="shared" si="2"/>
        <v>134.5838889</v>
      </c>
      <c r="O108" s="11">
        <f t="shared" si="3"/>
        <v>0.4102564103</v>
      </c>
    </row>
    <row r="109">
      <c r="A109" s="1" t="s">
        <v>355</v>
      </c>
      <c r="B109" s="1" t="s">
        <v>356</v>
      </c>
      <c r="C109" s="1" t="s">
        <v>357</v>
      </c>
      <c r="D109" s="1">
        <v>0.0</v>
      </c>
      <c r="E109" s="13" t="s">
        <v>22</v>
      </c>
      <c r="F109" s="1">
        <v>49.0</v>
      </c>
      <c r="G109" s="1">
        <v>66.0</v>
      </c>
      <c r="H109" s="1">
        <v>19.0</v>
      </c>
      <c r="I109" s="7">
        <f>IFERROR(__xludf.DUMMYFUNCTION("SPLIT(B109,""T""""Z"")"),43196.0)</f>
        <v>43196</v>
      </c>
      <c r="J109" s="8">
        <f>IFERROR(__xludf.DUMMYFUNCTION("""COMPUTED_VALUE"""),0.5631712962962963)</f>
        <v>0.5631712963</v>
      </c>
      <c r="K109" s="9">
        <f t="shared" si="1"/>
        <v>4</v>
      </c>
      <c r="L109" s="7">
        <f>IFERROR(__xludf.DUMMYFUNCTION("SPLIT(C109,""T""""Z"")"),44798.0)</f>
        <v>44798</v>
      </c>
      <c r="M109" s="8">
        <f>IFERROR(__xludf.DUMMYFUNCTION("""COMPUTED_VALUE"""),0.5350462962962963)</f>
        <v>0.5350462963</v>
      </c>
      <c r="N109" s="12">
        <f t="shared" si="2"/>
        <v>132.8411111</v>
      </c>
      <c r="O109" s="11">
        <f t="shared" si="3"/>
        <v>0.2878787879</v>
      </c>
    </row>
    <row r="110">
      <c r="A110" s="1" t="s">
        <v>358</v>
      </c>
      <c r="B110" s="1" t="s">
        <v>359</v>
      </c>
      <c r="C110" s="1" t="s">
        <v>360</v>
      </c>
      <c r="D110" s="1">
        <v>2.0</v>
      </c>
      <c r="E110" s="1" t="s">
        <v>48</v>
      </c>
      <c r="F110" s="1">
        <v>553.0</v>
      </c>
      <c r="G110" s="1">
        <v>2192.0</v>
      </c>
      <c r="H110" s="1">
        <v>2119.0</v>
      </c>
      <c r="I110" s="7">
        <f>IFERROR(__xludf.DUMMYFUNCTION("SPLIT(B110,""T""""Z"")"),39906.0)</f>
        <v>39906</v>
      </c>
      <c r="J110" s="8">
        <f>IFERROR(__xludf.DUMMYFUNCTION("""COMPUTED_VALUE"""),0.6390509259259259)</f>
        <v>0.6390509259</v>
      </c>
      <c r="K110" s="9">
        <f t="shared" si="1"/>
        <v>13</v>
      </c>
      <c r="L110" s="7">
        <f>IFERROR(__xludf.DUMMYFUNCTION("SPLIT(C110,""T""""Z"")"),44798.0)</f>
        <v>44798</v>
      </c>
      <c r="M110" s="8">
        <f>IFERROR(__xludf.DUMMYFUNCTION("""COMPUTED_VALUE"""),0.43603009259259257)</f>
        <v>0.4360300926</v>
      </c>
      <c r="N110" s="10">
        <f t="shared" si="2"/>
        <v>130.4647222</v>
      </c>
      <c r="O110" s="11">
        <f t="shared" si="3"/>
        <v>0.9666970803</v>
      </c>
    </row>
    <row r="111">
      <c r="A111" s="1" t="s">
        <v>361</v>
      </c>
      <c r="B111" s="1" t="s">
        <v>362</v>
      </c>
      <c r="C111" s="1" t="s">
        <v>363</v>
      </c>
      <c r="D111" s="1">
        <v>50.0</v>
      </c>
      <c r="E111" s="1" t="s">
        <v>18</v>
      </c>
      <c r="F111" s="1">
        <v>408.0</v>
      </c>
      <c r="G111" s="1">
        <v>3235.0</v>
      </c>
      <c r="H111" s="1">
        <v>3137.0</v>
      </c>
      <c r="I111" s="7">
        <f>IFERROR(__xludf.DUMMYFUNCTION("SPLIT(B111,""T""""Z"")"),40248.0)</f>
        <v>40248</v>
      </c>
      <c r="J111" s="8">
        <f>IFERROR(__xludf.DUMMYFUNCTION("""COMPUTED_VALUE"""),0.7672222222222222)</f>
        <v>0.7672222222</v>
      </c>
      <c r="K111" s="9">
        <f t="shared" si="1"/>
        <v>12</v>
      </c>
      <c r="L111" s="7">
        <f>IFERROR(__xludf.DUMMYFUNCTION("SPLIT(C111,""T""""Z"")"),44798.0)</f>
        <v>44798</v>
      </c>
      <c r="M111" s="8">
        <f>IFERROR(__xludf.DUMMYFUNCTION("""COMPUTED_VALUE"""),0.6095486111111111)</f>
        <v>0.6095486111</v>
      </c>
      <c r="N111" s="10">
        <f t="shared" si="2"/>
        <v>134.6291667</v>
      </c>
      <c r="O111" s="11">
        <f t="shared" si="3"/>
        <v>0.9697063369</v>
      </c>
    </row>
    <row r="112">
      <c r="A112" s="1" t="s">
        <v>364</v>
      </c>
      <c r="B112" s="1" t="s">
        <v>365</v>
      </c>
      <c r="C112" s="1" t="s">
        <v>366</v>
      </c>
      <c r="D112" s="1">
        <v>0.0</v>
      </c>
      <c r="E112" s="1" t="s">
        <v>48</v>
      </c>
      <c r="F112" s="1">
        <v>347.0</v>
      </c>
      <c r="G112" s="1">
        <v>0.0</v>
      </c>
      <c r="H112" s="1">
        <v>0.0</v>
      </c>
      <c r="I112" s="7">
        <f>IFERROR(__xludf.DUMMYFUNCTION("SPLIT(B112,""T""""Z"")"),44145.0)</f>
        <v>44145</v>
      </c>
      <c r="J112" s="8">
        <f>IFERROR(__xludf.DUMMYFUNCTION("""COMPUTED_VALUE"""),0.11388888888888889)</f>
        <v>0.1138888889</v>
      </c>
      <c r="K112" s="9">
        <f t="shared" si="1"/>
        <v>1</v>
      </c>
      <c r="L112" s="7">
        <f>IFERROR(__xludf.DUMMYFUNCTION("SPLIT(C112,""T""""Z"")"),44798.0)</f>
        <v>44798</v>
      </c>
      <c r="M112" s="8">
        <f>IFERROR(__xludf.DUMMYFUNCTION("""COMPUTED_VALUE"""),0.6043981481481482)</f>
        <v>0.6043981481</v>
      </c>
      <c r="N112" s="10">
        <f t="shared" si="2"/>
        <v>134.5055556</v>
      </c>
      <c r="O112" s="11">
        <f t="shared" si="3"/>
        <v>0</v>
      </c>
    </row>
    <row r="113">
      <c r="A113" s="1" t="s">
        <v>367</v>
      </c>
      <c r="B113" s="1" t="s">
        <v>368</v>
      </c>
      <c r="C113" s="1" t="s">
        <v>369</v>
      </c>
      <c r="D113" s="1">
        <v>35.0</v>
      </c>
      <c r="E113" s="1" t="s">
        <v>88</v>
      </c>
      <c r="F113" s="1">
        <v>2945.0</v>
      </c>
      <c r="G113" s="1">
        <v>5596.0</v>
      </c>
      <c r="H113" s="1">
        <v>3896.0</v>
      </c>
      <c r="I113" s="7">
        <f>IFERROR(__xludf.DUMMYFUNCTION("SPLIT(B113,""T""""Z"")"),39893.0)</f>
        <v>39893</v>
      </c>
      <c r="J113" s="8">
        <f>IFERROR(__xludf.DUMMYFUNCTION("""COMPUTED_VALUE"""),0.9391782407407407)</f>
        <v>0.9391782407</v>
      </c>
      <c r="K113" s="9">
        <f t="shared" si="1"/>
        <v>13</v>
      </c>
      <c r="L113" s="7">
        <f>IFERROR(__xludf.DUMMYFUNCTION("SPLIT(C113,""T""""Z"")"),44798.0)</f>
        <v>44798</v>
      </c>
      <c r="M113" s="8">
        <f>IFERROR(__xludf.DUMMYFUNCTION("""COMPUTED_VALUE"""),0.5530671296296297)</f>
        <v>0.5530671296</v>
      </c>
      <c r="N113" s="10">
        <f t="shared" si="2"/>
        <v>133.2736111</v>
      </c>
      <c r="O113" s="11">
        <f t="shared" si="3"/>
        <v>0.6962115797</v>
      </c>
    </row>
    <row r="114">
      <c r="A114" s="1" t="s">
        <v>370</v>
      </c>
      <c r="B114" s="1" t="s">
        <v>371</v>
      </c>
      <c r="C114" s="1" t="s">
        <v>372</v>
      </c>
      <c r="D114" s="1">
        <v>11.0</v>
      </c>
      <c r="E114" s="1" t="s">
        <v>48</v>
      </c>
      <c r="F114" s="1">
        <v>20.0</v>
      </c>
      <c r="G114" s="1">
        <v>593.0</v>
      </c>
      <c r="H114" s="1">
        <v>308.0</v>
      </c>
      <c r="I114" s="7">
        <f>IFERROR(__xludf.DUMMYFUNCTION("SPLIT(B114,""T""""Z"")"),41042.0)</f>
        <v>41042</v>
      </c>
      <c r="J114" s="8">
        <f>IFERROR(__xludf.DUMMYFUNCTION("""COMPUTED_VALUE"""),0.14400462962962962)</f>
        <v>0.1440046296</v>
      </c>
      <c r="K114" s="9">
        <f t="shared" si="1"/>
        <v>10</v>
      </c>
      <c r="L114" s="7">
        <f>IFERROR(__xludf.DUMMYFUNCTION("SPLIT(C114,""T""""Z"")"),44798.0)</f>
        <v>44798</v>
      </c>
      <c r="M114" s="8">
        <f>IFERROR(__xludf.DUMMYFUNCTION("""COMPUTED_VALUE"""),0.5944444444444444)</f>
        <v>0.5944444444</v>
      </c>
      <c r="N114" s="10">
        <f t="shared" si="2"/>
        <v>134.2666667</v>
      </c>
      <c r="O114" s="11">
        <f t="shared" si="3"/>
        <v>0.5193929174</v>
      </c>
    </row>
    <row r="115">
      <c r="A115" s="1" t="s">
        <v>373</v>
      </c>
      <c r="B115" s="1" t="s">
        <v>374</v>
      </c>
      <c r="C115" s="1" t="s">
        <v>375</v>
      </c>
      <c r="D115" s="1">
        <v>80.0</v>
      </c>
      <c r="E115" s="1" t="s">
        <v>18</v>
      </c>
      <c r="F115" s="1">
        <v>1132.0</v>
      </c>
      <c r="G115" s="1">
        <v>2983.0</v>
      </c>
      <c r="H115" s="1">
        <v>2807.0</v>
      </c>
      <c r="I115" s="7">
        <f>IFERROR(__xludf.DUMMYFUNCTION("SPLIT(B115,""T""""Z"")"),43523.0)</f>
        <v>43523</v>
      </c>
      <c r="J115" s="8">
        <f>IFERROR(__xludf.DUMMYFUNCTION("""COMPUTED_VALUE"""),0.7018634259259259)</f>
        <v>0.7018634259</v>
      </c>
      <c r="K115" s="9">
        <f t="shared" si="1"/>
        <v>3</v>
      </c>
      <c r="L115" s="7">
        <f>IFERROR(__xludf.DUMMYFUNCTION("SPLIT(C115,""T""""Z"")"),44798.0)</f>
        <v>44798</v>
      </c>
      <c r="M115" s="8">
        <f>IFERROR(__xludf.DUMMYFUNCTION("""COMPUTED_VALUE"""),0.5959027777777778)</f>
        <v>0.5959027778</v>
      </c>
      <c r="N115" s="10">
        <f t="shared" si="2"/>
        <v>134.3016667</v>
      </c>
      <c r="O115" s="11">
        <f t="shared" si="3"/>
        <v>0.9409989943</v>
      </c>
    </row>
    <row r="116">
      <c r="A116" s="1" t="s">
        <v>376</v>
      </c>
      <c r="B116" s="1" t="s">
        <v>377</v>
      </c>
      <c r="C116" s="1" t="s">
        <v>378</v>
      </c>
      <c r="D116" s="1">
        <v>39.0</v>
      </c>
      <c r="E116" s="1" t="s">
        <v>38</v>
      </c>
      <c r="F116" s="1">
        <v>2690.0</v>
      </c>
      <c r="G116" s="1">
        <v>11421.0</v>
      </c>
      <c r="H116" s="1">
        <v>11177.0</v>
      </c>
      <c r="I116" s="7">
        <f>IFERROR(__xludf.DUMMYFUNCTION("SPLIT(B116,""T""""Z"")"),42091.0)</f>
        <v>42091</v>
      </c>
      <c r="J116" s="8">
        <f>IFERROR(__xludf.DUMMYFUNCTION("""COMPUTED_VALUE"""),0.024791666666666667)</f>
        <v>0.02479166667</v>
      </c>
      <c r="K116" s="9">
        <f t="shared" si="1"/>
        <v>7</v>
      </c>
      <c r="L116" s="7">
        <f>IFERROR(__xludf.DUMMYFUNCTION("SPLIT(C116,""T""""Z"")"),44798.0)</f>
        <v>44798</v>
      </c>
      <c r="M116" s="8">
        <f>IFERROR(__xludf.DUMMYFUNCTION("""COMPUTED_VALUE"""),0.5975578703703703)</f>
        <v>0.5975578704</v>
      </c>
      <c r="N116" s="10">
        <f t="shared" si="2"/>
        <v>134.3413889</v>
      </c>
      <c r="O116" s="11">
        <f t="shared" si="3"/>
        <v>0.9786358462</v>
      </c>
    </row>
    <row r="117">
      <c r="A117" s="1" t="s">
        <v>379</v>
      </c>
      <c r="B117" s="1" t="s">
        <v>380</v>
      </c>
      <c r="C117" s="1" t="s">
        <v>381</v>
      </c>
      <c r="D117" s="1">
        <v>104.0</v>
      </c>
      <c r="E117" s="1" t="s">
        <v>52</v>
      </c>
      <c r="F117" s="1">
        <v>3878.0</v>
      </c>
      <c r="G117" s="1">
        <v>5125.0</v>
      </c>
      <c r="H117" s="1">
        <v>4367.0</v>
      </c>
      <c r="I117" s="7">
        <f>IFERROR(__xludf.DUMMYFUNCTION("SPLIT(B117,""T""""Z"")"),41877.0)</f>
        <v>41877</v>
      </c>
      <c r="J117" s="8">
        <f>IFERROR(__xludf.DUMMYFUNCTION("""COMPUTED_VALUE"""),0.6612847222222222)</f>
        <v>0.6612847222</v>
      </c>
      <c r="K117" s="9">
        <f t="shared" si="1"/>
        <v>8</v>
      </c>
      <c r="L117" s="7">
        <f>IFERROR(__xludf.DUMMYFUNCTION("SPLIT(C117,""T""""Z"")"),44798.0)</f>
        <v>44798</v>
      </c>
      <c r="M117" s="8">
        <f>IFERROR(__xludf.DUMMYFUNCTION("""COMPUTED_VALUE"""),0.5282407407407408)</f>
        <v>0.5282407407</v>
      </c>
      <c r="N117" s="10">
        <f t="shared" si="2"/>
        <v>132.6777778</v>
      </c>
      <c r="O117" s="11">
        <f t="shared" si="3"/>
        <v>0.852097561</v>
      </c>
    </row>
    <row r="118">
      <c r="A118" s="1" t="s">
        <v>382</v>
      </c>
      <c r="B118" s="1" t="s">
        <v>383</v>
      </c>
      <c r="C118" s="1" t="s">
        <v>384</v>
      </c>
      <c r="D118" s="1">
        <v>0.0</v>
      </c>
      <c r="E118" s="1" t="s">
        <v>38</v>
      </c>
      <c r="F118" s="1">
        <v>744.0</v>
      </c>
      <c r="G118" s="1">
        <v>75.0</v>
      </c>
      <c r="H118" s="1">
        <v>74.0</v>
      </c>
      <c r="I118" s="7">
        <f>IFERROR(__xludf.DUMMYFUNCTION("SPLIT(B118,""T""""Z"")"),41835.0)</f>
        <v>41835</v>
      </c>
      <c r="J118" s="8">
        <f>IFERROR(__xludf.DUMMYFUNCTION("""COMPUTED_VALUE"""),0.799525462962963)</f>
        <v>0.799525463</v>
      </c>
      <c r="K118" s="9">
        <f t="shared" si="1"/>
        <v>8</v>
      </c>
      <c r="L118" s="7">
        <f>IFERROR(__xludf.DUMMYFUNCTION("SPLIT(C118,""T""""Z"")"),44798.0)</f>
        <v>44798</v>
      </c>
      <c r="M118" s="8">
        <f>IFERROR(__xludf.DUMMYFUNCTION("""COMPUTED_VALUE"""),0.5715740740740741)</f>
        <v>0.5715740741</v>
      </c>
      <c r="N118" s="10">
        <f t="shared" si="2"/>
        <v>133.7177778</v>
      </c>
      <c r="O118" s="11">
        <f t="shared" si="3"/>
        <v>0.9866666667</v>
      </c>
    </row>
    <row r="119">
      <c r="A119" s="1" t="s">
        <v>385</v>
      </c>
      <c r="B119" s="1" t="s">
        <v>386</v>
      </c>
      <c r="C119" s="1" t="s">
        <v>387</v>
      </c>
      <c r="D119" s="1">
        <v>0.0</v>
      </c>
      <c r="E119" s="13" t="s">
        <v>22</v>
      </c>
      <c r="F119" s="1">
        <v>25.0</v>
      </c>
      <c r="G119" s="1">
        <v>0.0</v>
      </c>
      <c r="H119" s="1">
        <v>0.0</v>
      </c>
      <c r="I119" s="7">
        <f>IFERROR(__xludf.DUMMYFUNCTION("SPLIT(B119,""T""""Z"")"),42459.0)</f>
        <v>42459</v>
      </c>
      <c r="J119" s="8">
        <f>IFERROR(__xludf.DUMMYFUNCTION("""COMPUTED_VALUE"""),0.6577546296296296)</f>
        <v>0.6577546296</v>
      </c>
      <c r="K119" s="9">
        <f t="shared" si="1"/>
        <v>6</v>
      </c>
      <c r="L119" s="7">
        <f>IFERROR(__xludf.DUMMYFUNCTION("SPLIT(C119,""T""""Z"")"),44798.0)</f>
        <v>44798</v>
      </c>
      <c r="M119" s="8">
        <f>IFERROR(__xludf.DUMMYFUNCTION("""COMPUTED_VALUE"""),0.5925231481481481)</f>
        <v>0.5925231481</v>
      </c>
      <c r="N119" s="12">
        <f t="shared" si="2"/>
        <v>134.2205556</v>
      </c>
      <c r="O119" s="11">
        <f t="shared" si="3"/>
        <v>0</v>
      </c>
    </row>
    <row r="120">
      <c r="A120" s="1" t="s">
        <v>388</v>
      </c>
      <c r="B120" s="1" t="s">
        <v>389</v>
      </c>
      <c r="C120" s="1" t="s">
        <v>390</v>
      </c>
      <c r="D120" s="1">
        <v>0.0</v>
      </c>
      <c r="E120" s="1" t="s">
        <v>391</v>
      </c>
      <c r="F120" s="1">
        <v>422.0</v>
      </c>
      <c r="G120" s="1">
        <v>128.0</v>
      </c>
      <c r="H120" s="1">
        <v>124.0</v>
      </c>
      <c r="I120" s="7">
        <f>IFERROR(__xludf.DUMMYFUNCTION("SPLIT(B120,""T""""Z"")"),40948.0)</f>
        <v>40948</v>
      </c>
      <c r="J120" s="8">
        <f>IFERROR(__xludf.DUMMYFUNCTION("""COMPUTED_VALUE"""),0.9820601851851852)</f>
        <v>0.9820601852</v>
      </c>
      <c r="K120" s="9">
        <f t="shared" si="1"/>
        <v>10</v>
      </c>
      <c r="L120" s="7">
        <f>IFERROR(__xludf.DUMMYFUNCTION("SPLIT(C120,""T""""Z"")"),44798.0)</f>
        <v>44798</v>
      </c>
      <c r="M120" s="8">
        <f>IFERROR(__xludf.DUMMYFUNCTION("""COMPUTED_VALUE"""),0.5469444444444445)</f>
        <v>0.5469444444</v>
      </c>
      <c r="N120" s="10">
        <f t="shared" si="2"/>
        <v>133.1266667</v>
      </c>
      <c r="O120" s="11">
        <f t="shared" si="3"/>
        <v>0.96875</v>
      </c>
    </row>
    <row r="121">
      <c r="A121" s="1" t="s">
        <v>392</v>
      </c>
      <c r="B121" s="1" t="s">
        <v>393</v>
      </c>
      <c r="C121" s="1" t="s">
        <v>394</v>
      </c>
      <c r="D121" s="1">
        <v>55.0</v>
      </c>
      <c r="E121" s="1" t="s">
        <v>193</v>
      </c>
      <c r="F121" s="1">
        <v>278.0</v>
      </c>
      <c r="G121" s="1">
        <v>2804.0</v>
      </c>
      <c r="H121" s="1">
        <v>2706.0</v>
      </c>
      <c r="I121" s="7">
        <f>IFERROR(__xludf.DUMMYFUNCTION("SPLIT(B121,""T""""Z"")"),41288.0)</f>
        <v>41288</v>
      </c>
      <c r="J121" s="8">
        <f>IFERROR(__xludf.DUMMYFUNCTION("""COMPUTED_VALUE"""),0.32935185185185184)</f>
        <v>0.3293518519</v>
      </c>
      <c r="K121" s="9">
        <f t="shared" si="1"/>
        <v>9</v>
      </c>
      <c r="L121" s="7">
        <f>IFERROR(__xludf.DUMMYFUNCTION("SPLIT(C121,""T""""Z"")"),44798.0)</f>
        <v>44798</v>
      </c>
      <c r="M121" s="8">
        <f>IFERROR(__xludf.DUMMYFUNCTION("""COMPUTED_VALUE"""),0.5988888888888889)</f>
        <v>0.5988888889</v>
      </c>
      <c r="N121" s="10">
        <f t="shared" si="2"/>
        <v>134.3733333</v>
      </c>
      <c r="O121" s="11">
        <f t="shared" si="3"/>
        <v>0.9650499287</v>
      </c>
    </row>
    <row r="122">
      <c r="A122" s="1" t="s">
        <v>395</v>
      </c>
      <c r="B122" s="1" t="s">
        <v>396</v>
      </c>
      <c r="C122" s="1" t="s">
        <v>397</v>
      </c>
      <c r="D122" s="1">
        <v>0.0</v>
      </c>
      <c r="E122" s="1" t="s">
        <v>48</v>
      </c>
      <c r="F122" s="1">
        <v>4424.0</v>
      </c>
      <c r="G122" s="1">
        <v>2794.0</v>
      </c>
      <c r="H122" s="1">
        <v>2325.0</v>
      </c>
      <c r="I122" s="7">
        <f>IFERROR(__xludf.DUMMYFUNCTION("SPLIT(B122,""T""""Z"")"),43418.0)</f>
        <v>43418</v>
      </c>
      <c r="J122" s="8">
        <f>IFERROR(__xludf.DUMMYFUNCTION("""COMPUTED_VALUE"""),0.9173263888888888)</f>
        <v>0.9173263889</v>
      </c>
      <c r="K122" s="9">
        <f t="shared" si="1"/>
        <v>3</v>
      </c>
      <c r="L122" s="7">
        <f>IFERROR(__xludf.DUMMYFUNCTION("SPLIT(C122,""T""""Z"")"),44798.0)</f>
        <v>44798</v>
      </c>
      <c r="M122" s="8">
        <f>IFERROR(__xludf.DUMMYFUNCTION("""COMPUTED_VALUE"""),0.5721527777777777)</f>
        <v>0.5721527778</v>
      </c>
      <c r="N122" s="10">
        <f t="shared" si="2"/>
        <v>133.7316667</v>
      </c>
      <c r="O122" s="11">
        <f t="shared" si="3"/>
        <v>0.8321403006</v>
      </c>
    </row>
    <row r="123">
      <c r="A123" s="1" t="s">
        <v>398</v>
      </c>
      <c r="B123" s="1" t="s">
        <v>399</v>
      </c>
      <c r="C123" s="1" t="s">
        <v>400</v>
      </c>
      <c r="D123" s="1">
        <v>975.0</v>
      </c>
      <c r="E123" s="1" t="s">
        <v>38</v>
      </c>
      <c r="F123" s="1">
        <v>38563.0</v>
      </c>
      <c r="G123" s="1">
        <v>31373.0</v>
      </c>
      <c r="H123" s="1">
        <v>29970.0</v>
      </c>
      <c r="I123" s="7">
        <f>IFERROR(__xludf.DUMMYFUNCTION("SPLIT(B123,""T""""Z"")"),41534.0)</f>
        <v>41534</v>
      </c>
      <c r="J123" s="8">
        <f>IFERROR(__xludf.DUMMYFUNCTION("""COMPUTED_VALUE"""),0.3123611111111111)</f>
        <v>0.3123611111</v>
      </c>
      <c r="K123" s="9">
        <f t="shared" si="1"/>
        <v>8</v>
      </c>
      <c r="L123" s="7">
        <f>IFERROR(__xludf.DUMMYFUNCTION("SPLIT(C123,""T""""Z"")"),44798.0)</f>
        <v>44798</v>
      </c>
      <c r="M123" s="8">
        <f>IFERROR(__xludf.DUMMYFUNCTION("""COMPUTED_VALUE"""),0.598113425925926)</f>
        <v>0.5981134259</v>
      </c>
      <c r="N123" s="10">
        <f t="shared" si="2"/>
        <v>134.3547222</v>
      </c>
      <c r="O123" s="11">
        <f t="shared" si="3"/>
        <v>0.9552800178</v>
      </c>
    </row>
    <row r="124">
      <c r="A124" s="1" t="s">
        <v>401</v>
      </c>
      <c r="B124" s="1" t="s">
        <v>402</v>
      </c>
      <c r="C124" s="1" t="s">
        <v>403</v>
      </c>
      <c r="D124" s="1">
        <v>0.0</v>
      </c>
      <c r="E124" s="1" t="s">
        <v>38</v>
      </c>
      <c r="F124" s="1">
        <v>35518.0</v>
      </c>
      <c r="G124" s="1">
        <v>30679.0</v>
      </c>
      <c r="H124" s="1">
        <v>29980.0</v>
      </c>
      <c r="I124" s="7">
        <f>IFERROR(__xludf.DUMMYFUNCTION("SPLIT(B124,""T""""Z"")"),40974.0)</f>
        <v>40974</v>
      </c>
      <c r="J124" s="8">
        <f>IFERROR(__xludf.DUMMYFUNCTION("""COMPUTED_VALUE"""),0.6236342592592593)</f>
        <v>0.6236342593</v>
      </c>
      <c r="K124" s="9">
        <f t="shared" si="1"/>
        <v>10</v>
      </c>
      <c r="L124" s="7">
        <f>IFERROR(__xludf.DUMMYFUNCTION("SPLIT(C124,""T""""Z"")"),44798.0)</f>
        <v>44798</v>
      </c>
      <c r="M124" s="8">
        <f>IFERROR(__xludf.DUMMYFUNCTION("""COMPUTED_VALUE"""),0.6094675925925926)</f>
        <v>0.6094675926</v>
      </c>
      <c r="N124" s="10">
        <f t="shared" si="2"/>
        <v>134.6272222</v>
      </c>
      <c r="O124" s="11">
        <f t="shared" si="3"/>
        <v>0.977215685</v>
      </c>
    </row>
    <row r="125">
      <c r="A125" s="1" t="s">
        <v>404</v>
      </c>
      <c r="B125" s="1" t="s">
        <v>405</v>
      </c>
      <c r="C125" s="1" t="s">
        <v>406</v>
      </c>
      <c r="D125" s="1">
        <v>2.0</v>
      </c>
      <c r="E125" s="1" t="s">
        <v>48</v>
      </c>
      <c r="F125" s="1">
        <v>573.0</v>
      </c>
      <c r="G125" s="1">
        <v>4029.0</v>
      </c>
      <c r="H125" s="1">
        <v>3763.0</v>
      </c>
      <c r="I125" s="7">
        <f>IFERROR(__xludf.DUMMYFUNCTION("SPLIT(B125,""T""""Z"")"),41006.0)</f>
        <v>41006</v>
      </c>
      <c r="J125" s="8">
        <f>IFERROR(__xludf.DUMMYFUNCTION("""COMPUTED_VALUE"""),0.17483796296296297)</f>
        <v>0.174837963</v>
      </c>
      <c r="K125" s="9">
        <f t="shared" si="1"/>
        <v>10</v>
      </c>
      <c r="L125" s="7">
        <f>IFERROR(__xludf.DUMMYFUNCTION("SPLIT(C125,""T""""Z"")"),44798.0)</f>
        <v>44798</v>
      </c>
      <c r="M125" s="8">
        <f>IFERROR(__xludf.DUMMYFUNCTION("""COMPUTED_VALUE"""),0.5230555555555556)</f>
        <v>0.5230555556</v>
      </c>
      <c r="N125" s="10">
        <f t="shared" si="2"/>
        <v>132.5533333</v>
      </c>
      <c r="O125" s="11">
        <f t="shared" si="3"/>
        <v>0.9339786548</v>
      </c>
    </row>
    <row r="126">
      <c r="A126" s="1" t="s">
        <v>407</v>
      </c>
      <c r="B126" s="1" t="s">
        <v>408</v>
      </c>
      <c r="C126" s="1" t="s">
        <v>409</v>
      </c>
      <c r="D126" s="1">
        <v>1.0</v>
      </c>
      <c r="E126" s="1" t="s">
        <v>410</v>
      </c>
      <c r="F126" s="1">
        <v>1.0</v>
      </c>
      <c r="G126" s="1">
        <v>4344.0</v>
      </c>
      <c r="H126" s="1">
        <v>571.0</v>
      </c>
      <c r="I126" s="7">
        <f>IFERROR(__xludf.DUMMYFUNCTION("SPLIT(B126,""T""""Z"")"),43137.0)</f>
        <v>43137</v>
      </c>
      <c r="J126" s="8">
        <f>IFERROR(__xludf.DUMMYFUNCTION("""COMPUTED_VALUE"""),0.9958333333333333)</f>
        <v>0.9958333333</v>
      </c>
      <c r="K126" s="9">
        <f t="shared" si="1"/>
        <v>4</v>
      </c>
      <c r="L126" s="7">
        <f>IFERROR(__xludf.DUMMYFUNCTION("SPLIT(C126,""T""""Z"")"),44798.0)</f>
        <v>44798</v>
      </c>
      <c r="M126" s="8">
        <f>IFERROR(__xludf.DUMMYFUNCTION("""COMPUTED_VALUE"""),0.6004861111111112)</f>
        <v>0.6004861111</v>
      </c>
      <c r="N126" s="10">
        <f t="shared" si="2"/>
        <v>134.4116667</v>
      </c>
      <c r="O126" s="11">
        <f t="shared" si="3"/>
        <v>0.1314456722</v>
      </c>
    </row>
    <row r="127">
      <c r="A127" s="1" t="s">
        <v>411</v>
      </c>
      <c r="B127" s="1" t="s">
        <v>412</v>
      </c>
      <c r="C127" s="1" t="s">
        <v>413</v>
      </c>
      <c r="D127" s="1">
        <v>118.0</v>
      </c>
      <c r="E127" s="1" t="s">
        <v>48</v>
      </c>
      <c r="F127" s="1">
        <v>16940.0</v>
      </c>
      <c r="G127" s="1">
        <v>13584.0</v>
      </c>
      <c r="H127" s="1">
        <v>13502.0</v>
      </c>
      <c r="I127" s="7">
        <f>IFERROR(__xludf.DUMMYFUNCTION("SPLIT(B127,""T""""Z"")"),42145.0)</f>
        <v>42145</v>
      </c>
      <c r="J127" s="8">
        <f>IFERROR(__xludf.DUMMYFUNCTION("""COMPUTED_VALUE"""),0.9465856481481482)</f>
        <v>0.9465856481</v>
      </c>
      <c r="K127" s="9">
        <f t="shared" si="1"/>
        <v>7</v>
      </c>
      <c r="L127" s="7">
        <f>IFERROR(__xludf.DUMMYFUNCTION("SPLIT(C127,""T""""Z"")"),44798.0)</f>
        <v>44798</v>
      </c>
      <c r="M127" s="8">
        <f>IFERROR(__xludf.DUMMYFUNCTION("""COMPUTED_VALUE"""),0.5869907407407408)</f>
        <v>0.5869907407</v>
      </c>
      <c r="N127" s="10">
        <f t="shared" si="2"/>
        <v>134.0877778</v>
      </c>
      <c r="O127" s="11">
        <f t="shared" si="3"/>
        <v>0.9939634865</v>
      </c>
    </row>
    <row r="128">
      <c r="A128" s="1" t="s">
        <v>414</v>
      </c>
      <c r="B128" s="1" t="s">
        <v>415</v>
      </c>
      <c r="C128" s="1" t="s">
        <v>416</v>
      </c>
      <c r="D128" s="1">
        <v>0.0</v>
      </c>
      <c r="E128" s="1" t="s">
        <v>417</v>
      </c>
      <c r="F128" s="1">
        <v>302.0</v>
      </c>
      <c r="G128" s="1">
        <v>374.0</v>
      </c>
      <c r="H128" s="1">
        <v>316.0</v>
      </c>
      <c r="I128" s="7">
        <f>IFERROR(__xludf.DUMMYFUNCTION("SPLIT(B128,""T""""Z"")"),41732.0)</f>
        <v>41732</v>
      </c>
      <c r="J128" s="8">
        <f>IFERROR(__xludf.DUMMYFUNCTION("""COMPUTED_VALUE"""),0.6562731481481482)</f>
        <v>0.6562731481</v>
      </c>
      <c r="K128" s="9">
        <f t="shared" si="1"/>
        <v>8</v>
      </c>
      <c r="L128" s="7">
        <f>IFERROR(__xludf.DUMMYFUNCTION("SPLIT(C128,""T""""Z"")"),44798.0)</f>
        <v>44798</v>
      </c>
      <c r="M128" s="8">
        <f>IFERROR(__xludf.DUMMYFUNCTION("""COMPUTED_VALUE"""),0.5833564814814814)</f>
        <v>0.5833564815</v>
      </c>
      <c r="N128" s="10">
        <f t="shared" si="2"/>
        <v>134.0005556</v>
      </c>
      <c r="O128" s="11">
        <f t="shared" si="3"/>
        <v>0.8449197861</v>
      </c>
    </row>
    <row r="129">
      <c r="A129" s="1" t="s">
        <v>418</v>
      </c>
      <c r="B129" s="1" t="s">
        <v>419</v>
      </c>
      <c r="C129" s="1" t="s">
        <v>420</v>
      </c>
      <c r="D129" s="1">
        <v>32.0</v>
      </c>
      <c r="E129" s="1" t="s">
        <v>48</v>
      </c>
      <c r="F129" s="1">
        <v>640.0</v>
      </c>
      <c r="G129" s="1">
        <v>1274.0</v>
      </c>
      <c r="H129" s="1">
        <v>1268.0</v>
      </c>
      <c r="I129" s="7">
        <f>IFERROR(__xludf.DUMMYFUNCTION("SPLIT(B129,""T""""Z"")"),40202.0)</f>
        <v>40202</v>
      </c>
      <c r="J129" s="8">
        <f>IFERROR(__xludf.DUMMYFUNCTION("""COMPUTED_VALUE"""),0.7523611111111111)</f>
        <v>0.7523611111</v>
      </c>
      <c r="K129" s="9">
        <f t="shared" si="1"/>
        <v>12</v>
      </c>
      <c r="L129" s="7">
        <f>IFERROR(__xludf.DUMMYFUNCTION("SPLIT(C129,""T""""Z"")"),44798.0)</f>
        <v>44798</v>
      </c>
      <c r="M129" s="8">
        <f>IFERROR(__xludf.DUMMYFUNCTION("""COMPUTED_VALUE"""),0.5599305555555556)</f>
        <v>0.5599305556</v>
      </c>
      <c r="N129" s="10">
        <f t="shared" si="2"/>
        <v>133.4383333</v>
      </c>
      <c r="O129" s="11">
        <f t="shared" si="3"/>
        <v>0.9952904239</v>
      </c>
    </row>
    <row r="130">
      <c r="A130" s="1" t="s">
        <v>421</v>
      </c>
      <c r="B130" s="1" t="s">
        <v>422</v>
      </c>
      <c r="C130" s="1" t="s">
        <v>423</v>
      </c>
      <c r="D130" s="1">
        <v>140.0</v>
      </c>
      <c r="E130" s="1" t="s">
        <v>186</v>
      </c>
      <c r="F130" s="1">
        <v>3192.0</v>
      </c>
      <c r="G130" s="1">
        <v>17178.0</v>
      </c>
      <c r="H130" s="1">
        <v>15132.0</v>
      </c>
      <c r="I130" s="7">
        <f>IFERROR(__xludf.DUMMYFUNCTION("SPLIT(B130,""T""""Z"")"),42616.0)</f>
        <v>42616</v>
      </c>
      <c r="J130" s="8">
        <f>IFERROR(__xludf.DUMMYFUNCTION("""COMPUTED_VALUE"""),0.26349537037037035)</f>
        <v>0.2634953704</v>
      </c>
      <c r="K130" s="9">
        <f t="shared" si="1"/>
        <v>5</v>
      </c>
      <c r="L130" s="7">
        <f>IFERROR(__xludf.DUMMYFUNCTION("SPLIT(C130,""T""""Z"")"),44798.0)</f>
        <v>44798</v>
      </c>
      <c r="M130" s="8">
        <f>IFERROR(__xludf.DUMMYFUNCTION("""COMPUTED_VALUE"""),0.5792476851851852)</f>
        <v>0.5792476852</v>
      </c>
      <c r="N130" s="10">
        <f t="shared" si="2"/>
        <v>133.9019444</v>
      </c>
      <c r="O130" s="11">
        <f t="shared" si="3"/>
        <v>0.880894167</v>
      </c>
    </row>
    <row r="131">
      <c r="A131" s="1" t="s">
        <v>424</v>
      </c>
      <c r="B131" s="1" t="s">
        <v>425</v>
      </c>
      <c r="C131" s="1" t="s">
        <v>426</v>
      </c>
      <c r="D131" s="1">
        <v>40.0</v>
      </c>
      <c r="E131" s="1" t="s">
        <v>52</v>
      </c>
      <c r="F131" s="1">
        <v>22939.0</v>
      </c>
      <c r="G131" s="1">
        <v>35109.0</v>
      </c>
      <c r="H131" s="1">
        <v>28631.0</v>
      </c>
      <c r="I131" s="7">
        <f>IFERROR(__xludf.DUMMYFUNCTION("SPLIT(B131,""T""""Z"")"),41643.0)</f>
        <v>41643</v>
      </c>
      <c r="J131" s="8">
        <f>IFERROR(__xludf.DUMMYFUNCTION("""COMPUTED_VALUE"""),0.6705555555555556)</f>
        <v>0.6705555556</v>
      </c>
      <c r="K131" s="9">
        <f t="shared" si="1"/>
        <v>8</v>
      </c>
      <c r="L131" s="7">
        <f>IFERROR(__xludf.DUMMYFUNCTION("SPLIT(C131,""T""""Z"")"),44798.0)</f>
        <v>44798</v>
      </c>
      <c r="M131" s="8">
        <f>IFERROR(__xludf.DUMMYFUNCTION("""COMPUTED_VALUE"""),0.5918055555555556)</f>
        <v>0.5918055556</v>
      </c>
      <c r="N131" s="10">
        <f t="shared" si="2"/>
        <v>134.2033333</v>
      </c>
      <c r="O131" s="11">
        <f t="shared" si="3"/>
        <v>0.815488906</v>
      </c>
    </row>
    <row r="132">
      <c r="A132" s="1" t="s">
        <v>427</v>
      </c>
      <c r="B132" s="1" t="s">
        <v>428</v>
      </c>
      <c r="C132" s="1" t="s">
        <v>429</v>
      </c>
      <c r="D132" s="1">
        <v>5.0</v>
      </c>
      <c r="E132" s="1" t="s">
        <v>48</v>
      </c>
      <c r="F132" s="1">
        <v>668.0</v>
      </c>
      <c r="G132" s="1">
        <v>326.0</v>
      </c>
      <c r="H132" s="1">
        <v>243.0</v>
      </c>
      <c r="I132" s="7">
        <f>IFERROR(__xludf.DUMMYFUNCTION("SPLIT(B132,""T""""Z"")"),42568.0)</f>
        <v>42568</v>
      </c>
      <c r="J132" s="8">
        <f>IFERROR(__xludf.DUMMYFUNCTION("""COMPUTED_VALUE"""),0.6484606481481482)</f>
        <v>0.6484606481</v>
      </c>
      <c r="K132" s="9">
        <f t="shared" si="1"/>
        <v>6</v>
      </c>
      <c r="L132" s="7">
        <f>IFERROR(__xludf.DUMMYFUNCTION("SPLIT(C132,""T""""Z"")"),44798.0)</f>
        <v>44798</v>
      </c>
      <c r="M132" s="8">
        <f>IFERROR(__xludf.DUMMYFUNCTION("""COMPUTED_VALUE"""),0.5876736111111112)</f>
        <v>0.5876736111</v>
      </c>
      <c r="N132" s="10">
        <f t="shared" si="2"/>
        <v>134.1041667</v>
      </c>
      <c r="O132" s="11">
        <f t="shared" si="3"/>
        <v>0.745398773</v>
      </c>
    </row>
    <row r="133">
      <c r="A133" s="1" t="s">
        <v>430</v>
      </c>
      <c r="B133" s="1" t="s">
        <v>431</v>
      </c>
      <c r="C133" s="1" t="s">
        <v>432</v>
      </c>
      <c r="D133" s="1">
        <v>103.0</v>
      </c>
      <c r="E133" s="1" t="s">
        <v>18</v>
      </c>
      <c r="F133" s="1">
        <v>1065.0</v>
      </c>
      <c r="G133" s="1">
        <v>16027.0</v>
      </c>
      <c r="H133" s="1">
        <v>13915.0</v>
      </c>
      <c r="I133" s="7">
        <f>IFERROR(__xludf.DUMMYFUNCTION("SPLIT(B133,""T""""Z"")"),41367.0)</f>
        <v>41367</v>
      </c>
      <c r="J133" s="8">
        <f>IFERROR(__xludf.DUMMYFUNCTION("""COMPUTED_VALUE"""),0.13818287037037036)</f>
        <v>0.1381828704</v>
      </c>
      <c r="K133" s="9">
        <f t="shared" si="1"/>
        <v>9</v>
      </c>
      <c r="L133" s="7">
        <f>IFERROR(__xludf.DUMMYFUNCTION("SPLIT(C133,""T""""Z"")"),44798.0)</f>
        <v>44798</v>
      </c>
      <c r="M133" s="8">
        <f>IFERROR(__xludf.DUMMYFUNCTION("""COMPUTED_VALUE"""),0.5485069444444445)</f>
        <v>0.5485069444</v>
      </c>
      <c r="N133" s="10">
        <f t="shared" si="2"/>
        <v>133.1641667</v>
      </c>
      <c r="O133" s="11">
        <f t="shared" si="3"/>
        <v>0.8682223747</v>
      </c>
    </row>
    <row r="134">
      <c r="A134" s="1" t="s">
        <v>433</v>
      </c>
      <c r="B134" s="1" t="s">
        <v>434</v>
      </c>
      <c r="C134" s="1" t="s">
        <v>435</v>
      </c>
      <c r="D134" s="1">
        <v>0.0</v>
      </c>
      <c r="E134" s="1" t="s">
        <v>48</v>
      </c>
      <c r="F134" s="1">
        <v>138.0</v>
      </c>
      <c r="G134" s="1">
        <v>42.0</v>
      </c>
      <c r="H134" s="1">
        <v>32.0</v>
      </c>
      <c r="I134" s="7">
        <f>IFERROR(__xludf.DUMMYFUNCTION("SPLIT(B134,""T""""Z"")"),43347.0)</f>
        <v>43347</v>
      </c>
      <c r="J134" s="8">
        <f>IFERROR(__xludf.DUMMYFUNCTION("""COMPUTED_VALUE"""),0.5604629629629629)</f>
        <v>0.560462963</v>
      </c>
      <c r="K134" s="9">
        <f t="shared" si="1"/>
        <v>3</v>
      </c>
      <c r="L134" s="7">
        <f>IFERROR(__xludf.DUMMYFUNCTION("SPLIT(C134,""T""""Z"")"),44798.0)</f>
        <v>44798</v>
      </c>
      <c r="M134" s="8">
        <f>IFERROR(__xludf.DUMMYFUNCTION("""COMPUTED_VALUE"""),0.5631018518518518)</f>
        <v>0.5631018519</v>
      </c>
      <c r="N134" s="10">
        <f t="shared" si="2"/>
        <v>133.5144444</v>
      </c>
      <c r="O134" s="11">
        <f t="shared" si="3"/>
        <v>0.7619047619</v>
      </c>
    </row>
    <row r="135">
      <c r="A135" s="1" t="s">
        <v>436</v>
      </c>
      <c r="B135" s="1" t="s">
        <v>437</v>
      </c>
      <c r="C135" s="1" t="s">
        <v>438</v>
      </c>
      <c r="D135" s="1">
        <v>79.0</v>
      </c>
      <c r="E135" s="1" t="s">
        <v>439</v>
      </c>
      <c r="F135" s="1">
        <v>19975.0</v>
      </c>
      <c r="G135" s="1">
        <v>15791.0</v>
      </c>
      <c r="H135" s="1">
        <v>15430.0</v>
      </c>
      <c r="I135" s="7">
        <f>IFERROR(__xludf.DUMMYFUNCTION("SPLIT(B135,""T""""Z"")"),39549.0)</f>
        <v>39549</v>
      </c>
      <c r="J135" s="8">
        <f>IFERROR(__xludf.DUMMYFUNCTION("""COMPUTED_VALUE"""),0.09707175925925926)</f>
        <v>0.09707175926</v>
      </c>
      <c r="K135" s="9">
        <f t="shared" si="1"/>
        <v>14</v>
      </c>
      <c r="L135" s="7">
        <f>IFERROR(__xludf.DUMMYFUNCTION("SPLIT(C135,""T""""Z"")"),44798.0)</f>
        <v>44798</v>
      </c>
      <c r="M135" s="8">
        <f>IFERROR(__xludf.DUMMYFUNCTION("""COMPUTED_VALUE"""),0.5999074074074074)</f>
        <v>0.5999074074</v>
      </c>
      <c r="N135" s="10">
        <f t="shared" si="2"/>
        <v>134.3977778</v>
      </c>
      <c r="O135" s="11">
        <f t="shared" si="3"/>
        <v>0.9771388766</v>
      </c>
    </row>
    <row r="136">
      <c r="A136" s="1" t="s">
        <v>440</v>
      </c>
      <c r="B136" s="1" t="s">
        <v>441</v>
      </c>
      <c r="C136" s="1" t="s">
        <v>442</v>
      </c>
      <c r="D136" s="1">
        <v>29.0</v>
      </c>
      <c r="E136" s="1" t="s">
        <v>38</v>
      </c>
      <c r="F136" s="1">
        <v>9480.0</v>
      </c>
      <c r="G136" s="1">
        <v>9585.0</v>
      </c>
      <c r="H136" s="1">
        <v>8048.0</v>
      </c>
      <c r="I136" s="7">
        <f>IFERROR(__xludf.DUMMYFUNCTION("SPLIT(B136,""T""""Z"")"),40407.0)</f>
        <v>40407</v>
      </c>
      <c r="J136" s="8">
        <f>IFERROR(__xludf.DUMMYFUNCTION("""COMPUTED_VALUE"""),0.4053009259259259)</f>
        <v>0.4053009259</v>
      </c>
      <c r="K136" s="9">
        <f t="shared" si="1"/>
        <v>12</v>
      </c>
      <c r="L136" s="7">
        <f>IFERROR(__xludf.DUMMYFUNCTION("SPLIT(C136,""T""""Z"")"),44798.0)</f>
        <v>44798</v>
      </c>
      <c r="M136" s="8">
        <f>IFERROR(__xludf.DUMMYFUNCTION("""COMPUTED_VALUE"""),0.6085300925925926)</f>
        <v>0.6085300926</v>
      </c>
      <c r="N136" s="10">
        <f t="shared" si="2"/>
        <v>134.6047222</v>
      </c>
      <c r="O136" s="11">
        <f t="shared" si="3"/>
        <v>0.8396452791</v>
      </c>
    </row>
    <row r="137">
      <c r="A137" s="1" t="s">
        <v>443</v>
      </c>
      <c r="B137" s="1" t="s">
        <v>444</v>
      </c>
      <c r="C137" s="1" t="s">
        <v>445</v>
      </c>
      <c r="D137" s="1">
        <v>0.0</v>
      </c>
      <c r="E137" s="13" t="s">
        <v>22</v>
      </c>
      <c r="F137" s="1">
        <v>188.0</v>
      </c>
      <c r="G137" s="1">
        <v>102.0</v>
      </c>
      <c r="H137" s="1">
        <v>46.0</v>
      </c>
      <c r="I137" s="7">
        <f>IFERROR(__xludf.DUMMYFUNCTION("SPLIT(B137,""T""""Z"")"),41963.0)</f>
        <v>41963</v>
      </c>
      <c r="J137" s="8">
        <f>IFERROR(__xludf.DUMMYFUNCTION("""COMPUTED_VALUE"""),0.2644675925925926)</f>
        <v>0.2644675926</v>
      </c>
      <c r="K137" s="9">
        <f t="shared" si="1"/>
        <v>7</v>
      </c>
      <c r="L137" s="7">
        <f>IFERROR(__xludf.DUMMYFUNCTION("SPLIT(C137,""T""""Z"")"),44798.0)</f>
        <v>44798</v>
      </c>
      <c r="M137" s="8">
        <f>IFERROR(__xludf.DUMMYFUNCTION("""COMPUTED_VALUE"""),0.5538425925925926)</f>
        <v>0.5538425926</v>
      </c>
      <c r="N137" s="12">
        <f t="shared" si="2"/>
        <v>133.2922222</v>
      </c>
      <c r="O137" s="11">
        <f t="shared" si="3"/>
        <v>0.4509803922</v>
      </c>
    </row>
    <row r="138">
      <c r="A138" s="1" t="s">
        <v>446</v>
      </c>
      <c r="B138" s="1" t="s">
        <v>447</v>
      </c>
      <c r="C138" s="1" t="s">
        <v>448</v>
      </c>
      <c r="D138" s="1">
        <v>303.0</v>
      </c>
      <c r="E138" s="1" t="s">
        <v>18</v>
      </c>
      <c r="F138" s="1">
        <v>23113.0</v>
      </c>
      <c r="G138" s="1">
        <v>25587.0</v>
      </c>
      <c r="H138" s="1">
        <v>23233.0</v>
      </c>
      <c r="I138" s="7">
        <f>IFERROR(__xludf.DUMMYFUNCTION("SPLIT(B138,""T""""Z"")"),41619.0)</f>
        <v>41619</v>
      </c>
      <c r="J138" s="8">
        <f>IFERROR(__xludf.DUMMYFUNCTION("""COMPUTED_VALUE"""),0.6666203703703704)</f>
        <v>0.6666203704</v>
      </c>
      <c r="K138" s="9">
        <f t="shared" si="1"/>
        <v>8</v>
      </c>
      <c r="L138" s="7">
        <f>IFERROR(__xludf.DUMMYFUNCTION("SPLIT(C138,""T""""Z"")"),44798.0)</f>
        <v>44798</v>
      </c>
      <c r="M138" s="8">
        <f>IFERROR(__xludf.DUMMYFUNCTION("""COMPUTED_VALUE"""),0.536724537037037)</f>
        <v>0.536724537</v>
      </c>
      <c r="N138" s="10">
        <f t="shared" si="2"/>
        <v>132.8813889</v>
      </c>
      <c r="O138" s="11">
        <f t="shared" si="3"/>
        <v>0.9080001563</v>
      </c>
    </row>
    <row r="139">
      <c r="A139" s="1" t="s">
        <v>449</v>
      </c>
      <c r="B139" s="1" t="s">
        <v>450</v>
      </c>
      <c r="C139" s="1" t="s">
        <v>451</v>
      </c>
      <c r="D139" s="1">
        <v>0.0</v>
      </c>
      <c r="E139" s="13" t="s">
        <v>22</v>
      </c>
      <c r="F139" s="1">
        <v>764.0</v>
      </c>
      <c r="G139" s="1">
        <v>88.0</v>
      </c>
      <c r="H139" s="1">
        <v>70.0</v>
      </c>
      <c r="I139" s="7">
        <f>IFERROR(__xludf.DUMMYFUNCTION("SPLIT(B139,""T""""Z"")"),41857.0)</f>
        <v>41857</v>
      </c>
      <c r="J139" s="8">
        <f>IFERROR(__xludf.DUMMYFUNCTION("""COMPUTED_VALUE"""),0.23037037037037036)</f>
        <v>0.2303703704</v>
      </c>
      <c r="K139" s="9">
        <f t="shared" si="1"/>
        <v>8</v>
      </c>
      <c r="L139" s="7">
        <f>IFERROR(__xludf.DUMMYFUNCTION("SPLIT(C139,""T""""Z"")"),44798.0)</f>
        <v>44798</v>
      </c>
      <c r="M139" s="8">
        <f>IFERROR(__xludf.DUMMYFUNCTION("""COMPUTED_VALUE"""),0.5911689814814814)</f>
        <v>0.5911689815</v>
      </c>
      <c r="N139" s="12">
        <f t="shared" si="2"/>
        <v>134.1880556</v>
      </c>
      <c r="O139" s="11">
        <f t="shared" si="3"/>
        <v>0.7954545455</v>
      </c>
    </row>
    <row r="140">
      <c r="A140" s="1" t="s">
        <v>452</v>
      </c>
      <c r="B140" s="1" t="s">
        <v>453</v>
      </c>
      <c r="C140" s="1" t="s">
        <v>394</v>
      </c>
      <c r="D140" s="1">
        <v>153.0</v>
      </c>
      <c r="E140" s="1" t="s">
        <v>48</v>
      </c>
      <c r="F140" s="1">
        <v>351.0</v>
      </c>
      <c r="G140" s="1">
        <v>6186.0</v>
      </c>
      <c r="H140" s="1">
        <v>5242.0</v>
      </c>
      <c r="I140" s="7">
        <f>IFERROR(__xludf.DUMMYFUNCTION("SPLIT(B140,""T""""Z"")"),41372.0)</f>
        <v>41372</v>
      </c>
      <c r="J140" s="8">
        <f>IFERROR(__xludf.DUMMYFUNCTION("""COMPUTED_VALUE"""),0.9806018518518519)</f>
        <v>0.9806018519</v>
      </c>
      <c r="K140" s="9">
        <f t="shared" si="1"/>
        <v>9</v>
      </c>
      <c r="L140" s="7">
        <f>IFERROR(__xludf.DUMMYFUNCTION("SPLIT(C140,""T""""Z"")"),44798.0)</f>
        <v>44798</v>
      </c>
      <c r="M140" s="8">
        <f>IFERROR(__xludf.DUMMYFUNCTION("""COMPUTED_VALUE"""),0.5988888888888889)</f>
        <v>0.5988888889</v>
      </c>
      <c r="N140" s="10">
        <f t="shared" si="2"/>
        <v>134.3733333</v>
      </c>
      <c r="O140" s="11">
        <f t="shared" si="3"/>
        <v>0.8473973489</v>
      </c>
    </row>
    <row r="141">
      <c r="A141" s="1" t="s">
        <v>454</v>
      </c>
      <c r="B141" s="1" t="s">
        <v>455</v>
      </c>
      <c r="C141" s="1" t="s">
        <v>456</v>
      </c>
      <c r="D141" s="1">
        <v>74.0</v>
      </c>
      <c r="E141" s="1" t="s">
        <v>18</v>
      </c>
      <c r="F141" s="1">
        <v>4260.0</v>
      </c>
      <c r="G141" s="1">
        <v>4317.0</v>
      </c>
      <c r="H141" s="1">
        <v>4277.0</v>
      </c>
      <c r="I141" s="7">
        <f>IFERROR(__xludf.DUMMYFUNCTION("SPLIT(B141,""T""""Z"")"),42770.0)</f>
        <v>42770</v>
      </c>
      <c r="J141" s="8">
        <f>IFERROR(__xludf.DUMMYFUNCTION("""COMPUTED_VALUE"""),0.8422685185185185)</f>
        <v>0.8422685185</v>
      </c>
      <c r="K141" s="9">
        <f t="shared" si="1"/>
        <v>5</v>
      </c>
      <c r="L141" s="7">
        <f>IFERROR(__xludf.DUMMYFUNCTION("SPLIT(C141,""T""""Z"")"),44798.0)</f>
        <v>44798</v>
      </c>
      <c r="M141" s="8">
        <f>IFERROR(__xludf.DUMMYFUNCTION("""COMPUTED_VALUE"""),0.6096064814814814)</f>
        <v>0.6096064815</v>
      </c>
      <c r="N141" s="10">
        <f t="shared" si="2"/>
        <v>134.6305556</v>
      </c>
      <c r="O141" s="11">
        <f t="shared" si="3"/>
        <v>0.9907343062</v>
      </c>
    </row>
    <row r="142">
      <c r="A142" s="1" t="s">
        <v>457</v>
      </c>
      <c r="B142" s="1" t="s">
        <v>458</v>
      </c>
      <c r="C142" s="1" t="s">
        <v>459</v>
      </c>
      <c r="D142" s="1">
        <v>93.0</v>
      </c>
      <c r="E142" s="1" t="s">
        <v>48</v>
      </c>
      <c r="F142" s="1">
        <v>1174.0</v>
      </c>
      <c r="G142" s="1">
        <v>1972.0</v>
      </c>
      <c r="H142" s="1">
        <v>1209.0</v>
      </c>
      <c r="I142" s="7">
        <f>IFERROR(__xludf.DUMMYFUNCTION("SPLIT(B142,""T""""Z"")"),41944.0)</f>
        <v>41944</v>
      </c>
      <c r="J142" s="8">
        <f>IFERROR(__xludf.DUMMYFUNCTION("""COMPUTED_VALUE"""),0.9948148148148148)</f>
        <v>0.9948148148</v>
      </c>
      <c r="K142" s="9">
        <f t="shared" si="1"/>
        <v>7</v>
      </c>
      <c r="L142" s="7">
        <f>IFERROR(__xludf.DUMMYFUNCTION("SPLIT(C142,""T""""Z"")"),44798.0)</f>
        <v>44798</v>
      </c>
      <c r="M142" s="8">
        <f>IFERROR(__xludf.DUMMYFUNCTION("""COMPUTED_VALUE"""),0.6021180555555555)</f>
        <v>0.6021180556</v>
      </c>
      <c r="N142" s="10">
        <f t="shared" si="2"/>
        <v>134.4508333</v>
      </c>
      <c r="O142" s="11">
        <f t="shared" si="3"/>
        <v>0.6130831643</v>
      </c>
    </row>
    <row r="143">
      <c r="A143" s="1" t="s">
        <v>460</v>
      </c>
      <c r="B143" s="1" t="s">
        <v>461</v>
      </c>
      <c r="C143" s="1" t="s">
        <v>462</v>
      </c>
      <c r="D143" s="1">
        <v>40.0</v>
      </c>
      <c r="E143" s="1" t="s">
        <v>48</v>
      </c>
      <c r="F143" s="1">
        <v>234.0</v>
      </c>
      <c r="G143" s="1">
        <v>240.0</v>
      </c>
      <c r="H143" s="1">
        <v>238.0</v>
      </c>
      <c r="I143" s="7">
        <f>IFERROR(__xludf.DUMMYFUNCTION("SPLIT(B143,""T""""Z"")"),43189.0)</f>
        <v>43189</v>
      </c>
      <c r="J143" s="8">
        <f>IFERROR(__xludf.DUMMYFUNCTION("""COMPUTED_VALUE"""),0.38461805555555556)</f>
        <v>0.3846180556</v>
      </c>
      <c r="K143" s="9">
        <f t="shared" si="1"/>
        <v>4</v>
      </c>
      <c r="L143" s="7">
        <f>IFERROR(__xludf.DUMMYFUNCTION("SPLIT(C143,""T""""Z"")"),44798.0)</f>
        <v>44798</v>
      </c>
      <c r="M143" s="8">
        <f>IFERROR(__xludf.DUMMYFUNCTION("""COMPUTED_VALUE"""),0.5530208333333333)</f>
        <v>0.5530208333</v>
      </c>
      <c r="N143" s="10">
        <f t="shared" si="2"/>
        <v>133.2725</v>
      </c>
      <c r="O143" s="11">
        <f t="shared" si="3"/>
        <v>0.9916666667</v>
      </c>
    </row>
    <row r="144">
      <c r="A144" s="1" t="s">
        <v>463</v>
      </c>
      <c r="B144" s="1" t="s">
        <v>464</v>
      </c>
      <c r="C144" s="1" t="s">
        <v>465</v>
      </c>
      <c r="D144" s="1">
        <v>0.0</v>
      </c>
      <c r="E144" s="13" t="s">
        <v>22</v>
      </c>
      <c r="F144" s="1">
        <v>175.0</v>
      </c>
      <c r="G144" s="1">
        <v>30.0</v>
      </c>
      <c r="H144" s="1">
        <v>29.0</v>
      </c>
      <c r="I144" s="7">
        <f>IFERROR(__xludf.DUMMYFUNCTION("SPLIT(B144,""T""""Z"")"),42336.0)</f>
        <v>42336</v>
      </c>
      <c r="J144" s="8">
        <f>IFERROR(__xludf.DUMMYFUNCTION("""COMPUTED_VALUE"""),0.4085300925925926)</f>
        <v>0.4085300926</v>
      </c>
      <c r="K144" s="9">
        <f t="shared" si="1"/>
        <v>6</v>
      </c>
      <c r="L144" s="7">
        <f>IFERROR(__xludf.DUMMYFUNCTION("SPLIT(C144,""T""""Z"")"),44798.0)</f>
        <v>44798</v>
      </c>
      <c r="M144" s="8">
        <f>IFERROR(__xludf.DUMMYFUNCTION("""COMPUTED_VALUE"""),0.5977662037037037)</f>
        <v>0.5977662037</v>
      </c>
      <c r="N144" s="12">
        <f t="shared" si="2"/>
        <v>134.3463889</v>
      </c>
      <c r="O144" s="11">
        <f t="shared" si="3"/>
        <v>0.9666666667</v>
      </c>
    </row>
    <row r="145">
      <c r="A145" s="1" t="s">
        <v>466</v>
      </c>
      <c r="B145" s="1" t="s">
        <v>467</v>
      </c>
      <c r="C145" s="1" t="s">
        <v>468</v>
      </c>
      <c r="D145" s="1">
        <v>420.0</v>
      </c>
      <c r="E145" s="1" t="s">
        <v>161</v>
      </c>
      <c r="F145" s="1">
        <v>2495.0</v>
      </c>
      <c r="G145" s="1">
        <v>1699.0</v>
      </c>
      <c r="H145" s="1">
        <v>1497.0</v>
      </c>
      <c r="I145" s="7">
        <f>IFERROR(__xludf.DUMMYFUNCTION("SPLIT(B145,""T""""Z"")"),43659.0)</f>
        <v>43659</v>
      </c>
      <c r="J145" s="8">
        <f>IFERROR(__xludf.DUMMYFUNCTION("""COMPUTED_VALUE"""),0.38167824074074075)</f>
        <v>0.3816782407</v>
      </c>
      <c r="K145" s="9">
        <f t="shared" si="1"/>
        <v>3</v>
      </c>
      <c r="L145" s="7">
        <f>IFERROR(__xludf.DUMMYFUNCTION("SPLIT(C145,""T""""Z"")"),44798.0)</f>
        <v>44798</v>
      </c>
      <c r="M145" s="8">
        <f>IFERROR(__xludf.DUMMYFUNCTION("""COMPUTED_VALUE"""),0.5994328703703704)</f>
        <v>0.5994328704</v>
      </c>
      <c r="N145" s="10">
        <f t="shared" si="2"/>
        <v>134.3863889</v>
      </c>
      <c r="O145" s="11">
        <f t="shared" si="3"/>
        <v>0.8811065333</v>
      </c>
    </row>
    <row r="146">
      <c r="A146" s="1" t="s">
        <v>469</v>
      </c>
      <c r="B146" s="1" t="s">
        <v>470</v>
      </c>
      <c r="C146" s="1" t="s">
        <v>471</v>
      </c>
      <c r="D146" s="1">
        <v>234.0</v>
      </c>
      <c r="E146" s="1" t="s">
        <v>95</v>
      </c>
      <c r="F146" s="1">
        <v>718.0</v>
      </c>
      <c r="G146" s="1">
        <v>22361.0</v>
      </c>
      <c r="H146" s="1">
        <v>21144.0</v>
      </c>
      <c r="I146" s="7">
        <f>IFERROR(__xludf.DUMMYFUNCTION("SPLIT(B146,""T""""Z"")"),40520.0)</f>
        <v>40520</v>
      </c>
      <c r="J146" s="8">
        <f>IFERROR(__xludf.DUMMYFUNCTION("""COMPUTED_VALUE"""),0.16996527777777778)</f>
        <v>0.1699652778</v>
      </c>
      <c r="K146" s="9">
        <f t="shared" si="1"/>
        <v>11</v>
      </c>
      <c r="L146" s="7">
        <f>IFERROR(__xludf.DUMMYFUNCTION("SPLIT(C146,""T""""Z"")"),44798.0)</f>
        <v>44798</v>
      </c>
      <c r="M146" s="8">
        <f>IFERROR(__xludf.DUMMYFUNCTION("""COMPUTED_VALUE"""),0.6033101851851852)</f>
        <v>0.6033101852</v>
      </c>
      <c r="N146" s="10">
        <f t="shared" si="2"/>
        <v>134.4794444</v>
      </c>
      <c r="O146" s="11">
        <f t="shared" si="3"/>
        <v>0.9455748848</v>
      </c>
    </row>
    <row r="147">
      <c r="A147" s="1" t="s">
        <v>472</v>
      </c>
      <c r="B147" s="1" t="s">
        <v>473</v>
      </c>
      <c r="C147" s="1" t="s">
        <v>465</v>
      </c>
      <c r="D147" s="1">
        <v>0.0</v>
      </c>
      <c r="E147" s="1" t="s">
        <v>48</v>
      </c>
      <c r="F147" s="1">
        <v>302.0</v>
      </c>
      <c r="G147" s="1">
        <v>179.0</v>
      </c>
      <c r="H147" s="1">
        <v>80.0</v>
      </c>
      <c r="I147" s="7">
        <f>IFERROR(__xludf.DUMMYFUNCTION("SPLIT(B147,""T""""Z"")"),43278.0)</f>
        <v>43278</v>
      </c>
      <c r="J147" s="8">
        <f>IFERROR(__xludf.DUMMYFUNCTION("""COMPUTED_VALUE"""),0.2755208333333333)</f>
        <v>0.2755208333</v>
      </c>
      <c r="K147" s="9">
        <f t="shared" si="1"/>
        <v>4</v>
      </c>
      <c r="L147" s="7">
        <f>IFERROR(__xludf.DUMMYFUNCTION("SPLIT(C147,""T""""Z"")"),44798.0)</f>
        <v>44798</v>
      </c>
      <c r="M147" s="8">
        <f>IFERROR(__xludf.DUMMYFUNCTION("""COMPUTED_VALUE"""),0.5977662037037037)</f>
        <v>0.5977662037</v>
      </c>
      <c r="N147" s="10">
        <f t="shared" si="2"/>
        <v>134.3463889</v>
      </c>
      <c r="O147" s="11">
        <f t="shared" si="3"/>
        <v>0.4469273743</v>
      </c>
    </row>
    <row r="148">
      <c r="A148" s="1" t="s">
        <v>474</v>
      </c>
      <c r="B148" s="1" t="s">
        <v>475</v>
      </c>
      <c r="C148" s="1" t="s">
        <v>301</v>
      </c>
      <c r="D148" s="1">
        <v>128.0</v>
      </c>
      <c r="E148" s="1" t="s">
        <v>38</v>
      </c>
      <c r="F148" s="1">
        <v>941.0</v>
      </c>
      <c r="G148" s="1">
        <v>3050.0</v>
      </c>
      <c r="H148" s="1">
        <v>1945.0</v>
      </c>
      <c r="I148" s="7">
        <f>IFERROR(__xludf.DUMMYFUNCTION("SPLIT(B148,""T""""Z"")"),43442.0)</f>
        <v>43442</v>
      </c>
      <c r="J148" s="8">
        <f>IFERROR(__xludf.DUMMYFUNCTION("""COMPUTED_VALUE"""),0.34846064814814814)</f>
        <v>0.3484606481</v>
      </c>
      <c r="K148" s="9">
        <f t="shared" si="1"/>
        <v>3</v>
      </c>
      <c r="L148" s="7">
        <f>IFERROR(__xludf.DUMMYFUNCTION("SPLIT(C148,""T""""Z"")"),44798.0)</f>
        <v>44798</v>
      </c>
      <c r="M148" s="8">
        <f>IFERROR(__xludf.DUMMYFUNCTION("""COMPUTED_VALUE"""),0.6028356481481482)</f>
        <v>0.6028356481</v>
      </c>
      <c r="N148" s="10">
        <f t="shared" si="2"/>
        <v>134.4680556</v>
      </c>
      <c r="O148" s="11">
        <f t="shared" si="3"/>
        <v>0.637704918</v>
      </c>
    </row>
    <row r="149">
      <c r="A149" s="1" t="s">
        <v>476</v>
      </c>
      <c r="B149" s="1" t="s">
        <v>477</v>
      </c>
      <c r="C149" s="1" t="s">
        <v>478</v>
      </c>
      <c r="D149" s="1">
        <v>0.0</v>
      </c>
      <c r="E149" s="1" t="s">
        <v>206</v>
      </c>
      <c r="F149" s="1">
        <v>56.0</v>
      </c>
      <c r="G149" s="1">
        <v>490.0</v>
      </c>
      <c r="H149" s="1">
        <v>453.0</v>
      </c>
      <c r="I149" s="7">
        <f>IFERROR(__xludf.DUMMYFUNCTION("SPLIT(B149,""T""""Z"")"),40667.0)</f>
        <v>40667</v>
      </c>
      <c r="J149" s="8">
        <f>IFERROR(__xludf.DUMMYFUNCTION("""COMPUTED_VALUE"""),0.4308449074074074)</f>
        <v>0.4308449074</v>
      </c>
      <c r="K149" s="9">
        <f t="shared" si="1"/>
        <v>11</v>
      </c>
      <c r="L149" s="7">
        <f>IFERROR(__xludf.DUMMYFUNCTION("SPLIT(C149,""T""""Z"")"),44798.0)</f>
        <v>44798</v>
      </c>
      <c r="M149" s="8">
        <f>IFERROR(__xludf.DUMMYFUNCTION("""COMPUTED_VALUE"""),0.6047453703703703)</f>
        <v>0.6047453704</v>
      </c>
      <c r="N149" s="10">
        <f t="shared" si="2"/>
        <v>134.5138889</v>
      </c>
      <c r="O149" s="11">
        <f t="shared" si="3"/>
        <v>0.9244897959</v>
      </c>
    </row>
    <row r="150">
      <c r="A150" s="1" t="s">
        <v>479</v>
      </c>
      <c r="B150" s="1" t="s">
        <v>480</v>
      </c>
      <c r="C150" s="1" t="s">
        <v>481</v>
      </c>
      <c r="D150" s="1">
        <v>4.0</v>
      </c>
      <c r="E150" s="1" t="s">
        <v>38</v>
      </c>
      <c r="F150" s="1">
        <v>1455.0</v>
      </c>
      <c r="G150" s="1">
        <v>3620.0</v>
      </c>
      <c r="H150" s="1">
        <v>3438.0</v>
      </c>
      <c r="I150" s="7">
        <f>IFERROR(__xludf.DUMMYFUNCTION("SPLIT(B150,""T""""Z"")"),40587.0)</f>
        <v>40587</v>
      </c>
      <c r="J150" s="8">
        <f>IFERROR(__xludf.DUMMYFUNCTION("""COMPUTED_VALUE"""),0.7765856481481481)</f>
        <v>0.7765856481</v>
      </c>
      <c r="K150" s="9">
        <f t="shared" si="1"/>
        <v>11</v>
      </c>
      <c r="L150" s="7">
        <f>IFERROR(__xludf.DUMMYFUNCTION("SPLIT(C150,""T""""Z"")"),44798.0)</f>
        <v>44798</v>
      </c>
      <c r="M150" s="8">
        <f>IFERROR(__xludf.DUMMYFUNCTION("""COMPUTED_VALUE"""),0.6027083333333333)</f>
        <v>0.6027083333</v>
      </c>
      <c r="N150" s="10">
        <f t="shared" si="2"/>
        <v>134.465</v>
      </c>
      <c r="O150" s="11">
        <f t="shared" si="3"/>
        <v>0.9497237569</v>
      </c>
    </row>
    <row r="151">
      <c r="A151" s="1" t="s">
        <v>482</v>
      </c>
      <c r="B151" s="1" t="s">
        <v>483</v>
      </c>
      <c r="C151" s="1" t="s">
        <v>484</v>
      </c>
      <c r="D151" s="1">
        <v>234.0</v>
      </c>
      <c r="E151" s="1" t="s">
        <v>18</v>
      </c>
      <c r="F151" s="1">
        <v>1485.0</v>
      </c>
      <c r="G151" s="1">
        <v>6530.0</v>
      </c>
      <c r="H151" s="1">
        <v>6447.0</v>
      </c>
      <c r="I151" s="7">
        <f>IFERROR(__xludf.DUMMYFUNCTION("SPLIT(B151,""T""""Z"")"),41775.0)</f>
        <v>41775</v>
      </c>
      <c r="J151" s="8">
        <f>IFERROR(__xludf.DUMMYFUNCTION("""COMPUTED_VALUE"""),0.9325347222222222)</f>
        <v>0.9325347222</v>
      </c>
      <c r="K151" s="9">
        <f t="shared" si="1"/>
        <v>8</v>
      </c>
      <c r="L151" s="7">
        <f>IFERROR(__xludf.DUMMYFUNCTION("SPLIT(C151,""T""""Z"")"),44798.0)</f>
        <v>44798</v>
      </c>
      <c r="M151" s="8">
        <f>IFERROR(__xludf.DUMMYFUNCTION("""COMPUTED_VALUE"""),0.5267013888888888)</f>
        <v>0.5267013889</v>
      </c>
      <c r="N151" s="10">
        <f t="shared" si="2"/>
        <v>132.6408333</v>
      </c>
      <c r="O151" s="11">
        <f t="shared" si="3"/>
        <v>0.9872894334</v>
      </c>
    </row>
    <row r="152">
      <c r="A152" s="1" t="s">
        <v>485</v>
      </c>
      <c r="B152" s="1" t="s">
        <v>486</v>
      </c>
      <c r="C152" s="1" t="s">
        <v>487</v>
      </c>
      <c r="D152" s="1">
        <v>399.0</v>
      </c>
      <c r="E152" s="1" t="s">
        <v>18</v>
      </c>
      <c r="F152" s="1">
        <v>3712.0</v>
      </c>
      <c r="G152" s="1">
        <v>20241.0</v>
      </c>
      <c r="H152" s="1">
        <v>19700.0</v>
      </c>
      <c r="I152" s="7">
        <f>IFERROR(__xludf.DUMMYFUNCTION("SPLIT(B152,""T""""Z"")"),41506.0)</f>
        <v>41506</v>
      </c>
      <c r="J152" s="8">
        <f>IFERROR(__xludf.DUMMYFUNCTION("""COMPUTED_VALUE"""),0.9625231481481481)</f>
        <v>0.9625231481</v>
      </c>
      <c r="K152" s="9">
        <f t="shared" si="1"/>
        <v>9</v>
      </c>
      <c r="L152" s="7">
        <f>IFERROR(__xludf.DUMMYFUNCTION("SPLIT(C152,""T""""Z"")"),44798.0)</f>
        <v>44798</v>
      </c>
      <c r="M152" s="8">
        <f>IFERROR(__xludf.DUMMYFUNCTION("""COMPUTED_VALUE"""),0.5956481481481481)</f>
        <v>0.5956481481</v>
      </c>
      <c r="N152" s="10">
        <f t="shared" si="2"/>
        <v>134.2955556</v>
      </c>
      <c r="O152" s="11">
        <f t="shared" si="3"/>
        <v>0.9732720715</v>
      </c>
    </row>
    <row r="153">
      <c r="A153" s="1" t="s">
        <v>488</v>
      </c>
      <c r="B153" s="1" t="s">
        <v>489</v>
      </c>
      <c r="C153" s="1" t="s">
        <v>490</v>
      </c>
      <c r="D153" s="1">
        <v>90.0</v>
      </c>
      <c r="E153" s="1" t="s">
        <v>18</v>
      </c>
      <c r="F153" s="1">
        <v>9363.0</v>
      </c>
      <c r="G153" s="1">
        <v>8398.0</v>
      </c>
      <c r="H153" s="1">
        <v>7263.0</v>
      </c>
      <c r="I153" s="7">
        <f>IFERROR(__xludf.DUMMYFUNCTION("SPLIT(B153,""T""""Z"")"),42206.0)</f>
        <v>42206</v>
      </c>
      <c r="J153" s="8">
        <f>IFERROR(__xludf.DUMMYFUNCTION("""COMPUTED_VALUE"""),0.788587962962963)</f>
        <v>0.788587963</v>
      </c>
      <c r="K153" s="9">
        <f t="shared" si="1"/>
        <v>7</v>
      </c>
      <c r="L153" s="7">
        <f>IFERROR(__xludf.DUMMYFUNCTION("SPLIT(C153,""T""""Z"")"),44798.0)</f>
        <v>44798</v>
      </c>
      <c r="M153" s="8">
        <f>IFERROR(__xludf.DUMMYFUNCTION("""COMPUTED_VALUE"""),0.6028240740740741)</f>
        <v>0.6028240741</v>
      </c>
      <c r="N153" s="10">
        <f t="shared" si="2"/>
        <v>134.4677778</v>
      </c>
      <c r="O153" s="11">
        <f t="shared" si="3"/>
        <v>0.8648487735</v>
      </c>
    </row>
    <row r="154">
      <c r="A154" s="1" t="s">
        <v>491</v>
      </c>
      <c r="B154" s="1" t="s">
        <v>492</v>
      </c>
      <c r="C154" s="1" t="s">
        <v>493</v>
      </c>
      <c r="D154" s="1">
        <v>0.0</v>
      </c>
      <c r="E154" s="1" t="s">
        <v>95</v>
      </c>
      <c r="F154" s="1">
        <v>0.0</v>
      </c>
      <c r="G154" s="1">
        <v>231.0</v>
      </c>
      <c r="H154" s="1">
        <v>147.0</v>
      </c>
      <c r="I154" s="7">
        <f>IFERROR(__xludf.DUMMYFUNCTION("SPLIT(B154,""T""""Z"")"),43713.0)</f>
        <v>43713</v>
      </c>
      <c r="J154" s="8">
        <f>IFERROR(__xludf.DUMMYFUNCTION("""COMPUTED_VALUE"""),0.1263425925925926)</f>
        <v>0.1263425926</v>
      </c>
      <c r="K154" s="9">
        <f t="shared" si="1"/>
        <v>2</v>
      </c>
      <c r="L154" s="7">
        <f>IFERROR(__xludf.DUMMYFUNCTION("SPLIT(C154,""T""""Z"")"),44798.0)</f>
        <v>44798</v>
      </c>
      <c r="M154" s="8">
        <f>IFERROR(__xludf.DUMMYFUNCTION("""COMPUTED_VALUE"""),0.596712962962963)</f>
        <v>0.596712963</v>
      </c>
      <c r="N154" s="10">
        <f t="shared" si="2"/>
        <v>134.3211111</v>
      </c>
      <c r="O154" s="11">
        <f t="shared" si="3"/>
        <v>0.6363636364</v>
      </c>
    </row>
    <row r="155">
      <c r="A155" s="1" t="s">
        <v>494</v>
      </c>
      <c r="B155" s="1" t="s">
        <v>495</v>
      </c>
      <c r="C155" s="1" t="s">
        <v>496</v>
      </c>
      <c r="D155" s="1">
        <v>0.0</v>
      </c>
      <c r="E155" s="13" t="s">
        <v>22</v>
      </c>
      <c r="F155" s="1">
        <v>345.0</v>
      </c>
      <c r="G155" s="1">
        <v>77.0</v>
      </c>
      <c r="H155" s="1">
        <v>58.0</v>
      </c>
      <c r="I155" s="7">
        <f>IFERROR(__xludf.DUMMYFUNCTION("SPLIT(B155,""T""""Z"")"),42799.0)</f>
        <v>42799</v>
      </c>
      <c r="J155" s="8">
        <f>IFERROR(__xludf.DUMMYFUNCTION("""COMPUTED_VALUE"""),0.8508912037037037)</f>
        <v>0.8508912037</v>
      </c>
      <c r="K155" s="9">
        <f t="shared" si="1"/>
        <v>5</v>
      </c>
      <c r="L155" s="7">
        <f>IFERROR(__xludf.DUMMYFUNCTION("SPLIT(C155,""T""""Z"")"),44798.0)</f>
        <v>44798</v>
      </c>
      <c r="M155" s="8">
        <f>IFERROR(__xludf.DUMMYFUNCTION("""COMPUTED_VALUE"""),0.5755671296296296)</f>
        <v>0.5755671296</v>
      </c>
      <c r="N155" s="12">
        <f t="shared" si="2"/>
        <v>133.8136111</v>
      </c>
      <c r="O155" s="11">
        <f t="shared" si="3"/>
        <v>0.7532467532</v>
      </c>
    </row>
    <row r="156">
      <c r="A156" s="1" t="s">
        <v>497</v>
      </c>
      <c r="B156" s="1" t="s">
        <v>498</v>
      </c>
      <c r="C156" s="1" t="s">
        <v>499</v>
      </c>
      <c r="D156" s="1">
        <v>0.0</v>
      </c>
      <c r="E156" s="1" t="s">
        <v>95</v>
      </c>
      <c r="F156" s="1">
        <v>829.0</v>
      </c>
      <c r="G156" s="1">
        <v>673.0</v>
      </c>
      <c r="H156" s="1">
        <v>668.0</v>
      </c>
      <c r="I156" s="7">
        <f>IFERROR(__xludf.DUMMYFUNCTION("SPLIT(B156,""T""""Z"")"),42567.0)</f>
        <v>42567</v>
      </c>
      <c r="J156" s="8">
        <f>IFERROR(__xludf.DUMMYFUNCTION("""COMPUTED_VALUE"""),0.43127314814814816)</f>
        <v>0.4312731481</v>
      </c>
      <c r="K156" s="9">
        <f t="shared" si="1"/>
        <v>6</v>
      </c>
      <c r="L156" s="7">
        <f>IFERROR(__xludf.DUMMYFUNCTION("SPLIT(C156,""T""""Z"")"),44798.0)</f>
        <v>44798</v>
      </c>
      <c r="M156" s="8">
        <f>IFERROR(__xludf.DUMMYFUNCTION("""COMPUTED_VALUE"""),0.5488194444444444)</f>
        <v>0.5488194444</v>
      </c>
      <c r="N156" s="10">
        <f t="shared" si="2"/>
        <v>133.1716667</v>
      </c>
      <c r="O156" s="11">
        <f t="shared" si="3"/>
        <v>0.9925705795</v>
      </c>
    </row>
    <row r="157">
      <c r="A157" s="1" t="s">
        <v>500</v>
      </c>
      <c r="B157" s="1" t="s">
        <v>501</v>
      </c>
      <c r="C157" s="1" t="s">
        <v>502</v>
      </c>
      <c r="D157" s="1">
        <v>244.0</v>
      </c>
      <c r="E157" s="1" t="s">
        <v>48</v>
      </c>
      <c r="F157" s="1">
        <v>4995.0</v>
      </c>
      <c r="G157" s="1">
        <v>6785.0</v>
      </c>
      <c r="H157" s="1">
        <v>6482.0</v>
      </c>
      <c r="I157" s="7">
        <f>IFERROR(__xludf.DUMMYFUNCTION("SPLIT(B157,""T""""Z"")"),42277.0)</f>
        <v>42277</v>
      </c>
      <c r="J157" s="8">
        <f>IFERROR(__xludf.DUMMYFUNCTION("""COMPUTED_VALUE"""),0.6491666666666667)</f>
        <v>0.6491666667</v>
      </c>
      <c r="K157" s="9">
        <f t="shared" si="1"/>
        <v>6</v>
      </c>
      <c r="L157" s="7">
        <f>IFERROR(__xludf.DUMMYFUNCTION("SPLIT(C157,""T""""Z"")"),44798.0)</f>
        <v>44798</v>
      </c>
      <c r="M157" s="8">
        <f>IFERROR(__xludf.DUMMYFUNCTION("""COMPUTED_VALUE"""),0.6044675925925926)</f>
        <v>0.6044675926</v>
      </c>
      <c r="N157" s="10">
        <f t="shared" si="2"/>
        <v>134.5072222</v>
      </c>
      <c r="O157" s="11">
        <f t="shared" si="3"/>
        <v>0.9553426676</v>
      </c>
    </row>
    <row r="158">
      <c r="A158" s="1" t="s">
        <v>503</v>
      </c>
      <c r="B158" s="1" t="s">
        <v>504</v>
      </c>
      <c r="C158" s="1" t="s">
        <v>505</v>
      </c>
      <c r="D158" s="1">
        <v>0.0</v>
      </c>
      <c r="E158" s="1" t="s">
        <v>38</v>
      </c>
      <c r="F158" s="1">
        <v>28826.0</v>
      </c>
      <c r="G158" s="1">
        <v>60498.0</v>
      </c>
      <c r="H158" s="1">
        <v>53680.0</v>
      </c>
      <c r="I158" s="7">
        <f>IFERROR(__xludf.DUMMYFUNCTION("SPLIT(B158,""T""""Z"")"),42776.0)</f>
        <v>42776</v>
      </c>
      <c r="J158" s="8">
        <f>IFERROR(__xludf.DUMMYFUNCTION("""COMPUTED_VALUE"""),0.8082291666666667)</f>
        <v>0.8082291667</v>
      </c>
      <c r="K158" s="9">
        <f t="shared" si="1"/>
        <v>5</v>
      </c>
      <c r="L158" s="7">
        <f>IFERROR(__xludf.DUMMYFUNCTION("SPLIT(C158,""T""""Z"")"),44798.0)</f>
        <v>44798</v>
      </c>
      <c r="M158" s="8">
        <f>IFERROR(__xludf.DUMMYFUNCTION("""COMPUTED_VALUE"""),0.6040856481481481)</f>
        <v>0.6040856481</v>
      </c>
      <c r="N158" s="10">
        <f t="shared" si="2"/>
        <v>134.4980556</v>
      </c>
      <c r="O158" s="11">
        <f t="shared" si="3"/>
        <v>0.8873020596</v>
      </c>
    </row>
    <row r="159">
      <c r="A159" s="1" t="s">
        <v>506</v>
      </c>
      <c r="B159" s="1" t="s">
        <v>507</v>
      </c>
      <c r="C159" s="1" t="s">
        <v>508</v>
      </c>
      <c r="D159" s="1">
        <v>0.0</v>
      </c>
      <c r="E159" s="13" t="s">
        <v>22</v>
      </c>
      <c r="F159" s="1">
        <v>284.0</v>
      </c>
      <c r="G159" s="1">
        <v>198.0</v>
      </c>
      <c r="H159" s="1">
        <v>130.0</v>
      </c>
      <c r="I159" s="7">
        <f>IFERROR(__xludf.DUMMYFUNCTION("SPLIT(B159,""T""""Z"")"),43628.0)</f>
        <v>43628</v>
      </c>
      <c r="J159" s="8">
        <f>IFERROR(__xludf.DUMMYFUNCTION("""COMPUTED_VALUE"""),0.3517013888888889)</f>
        <v>0.3517013889</v>
      </c>
      <c r="K159" s="9">
        <f t="shared" si="1"/>
        <v>3</v>
      </c>
      <c r="L159" s="7">
        <f>IFERROR(__xludf.DUMMYFUNCTION("SPLIT(C159,""T""""Z"")"),44798.0)</f>
        <v>44798</v>
      </c>
      <c r="M159" s="8">
        <f>IFERROR(__xludf.DUMMYFUNCTION("""COMPUTED_VALUE"""),0.580949074074074)</f>
        <v>0.5809490741</v>
      </c>
      <c r="N159" s="12">
        <f t="shared" si="2"/>
        <v>133.9427778</v>
      </c>
      <c r="O159" s="11">
        <f t="shared" si="3"/>
        <v>0.6565656566</v>
      </c>
    </row>
    <row r="160">
      <c r="A160" s="1" t="s">
        <v>509</v>
      </c>
      <c r="B160" s="1" t="s">
        <v>510</v>
      </c>
      <c r="C160" s="1" t="s">
        <v>511</v>
      </c>
      <c r="D160" s="1">
        <v>0.0</v>
      </c>
      <c r="E160" s="1" t="s">
        <v>48</v>
      </c>
      <c r="F160" s="1">
        <v>712.0</v>
      </c>
      <c r="G160" s="1">
        <v>3989.0</v>
      </c>
      <c r="H160" s="1">
        <v>3819.0</v>
      </c>
      <c r="I160" s="7">
        <f>IFERROR(__xludf.DUMMYFUNCTION("SPLIT(B160,""T""""Z"")"),40603.0)</f>
        <v>40603</v>
      </c>
      <c r="J160" s="8">
        <f>IFERROR(__xludf.DUMMYFUNCTION("""COMPUTED_VALUE"""),0.11534722222222223)</f>
        <v>0.1153472222</v>
      </c>
      <c r="K160" s="9">
        <f t="shared" si="1"/>
        <v>11</v>
      </c>
      <c r="L160" s="7">
        <f>IFERROR(__xludf.DUMMYFUNCTION("SPLIT(C160,""T""""Z"")"),44798.0)</f>
        <v>44798</v>
      </c>
      <c r="M160" s="8">
        <f>IFERROR(__xludf.DUMMYFUNCTION("""COMPUTED_VALUE"""),0.5581018518518519)</f>
        <v>0.5581018519</v>
      </c>
      <c r="N160" s="10">
        <f t="shared" si="2"/>
        <v>133.3944444</v>
      </c>
      <c r="O160" s="11">
        <f t="shared" si="3"/>
        <v>0.9573828027</v>
      </c>
    </row>
    <row r="161">
      <c r="A161" s="1" t="s">
        <v>512</v>
      </c>
      <c r="B161" s="1" t="s">
        <v>513</v>
      </c>
      <c r="C161" s="1" t="s">
        <v>514</v>
      </c>
      <c r="D161" s="1">
        <v>174.0</v>
      </c>
      <c r="E161" s="1" t="s">
        <v>18</v>
      </c>
      <c r="F161" s="1">
        <v>2440.0</v>
      </c>
      <c r="G161" s="1">
        <v>4494.0</v>
      </c>
      <c r="H161" s="1">
        <v>4038.0</v>
      </c>
      <c r="I161" s="7">
        <f>IFERROR(__xludf.DUMMYFUNCTION("SPLIT(B161,""T""""Z"")"),43942.0)</f>
        <v>43942</v>
      </c>
      <c r="J161" s="8">
        <f>IFERROR(__xludf.DUMMYFUNCTION("""COMPUTED_VALUE"""),0.21107638888888888)</f>
        <v>0.2110763889</v>
      </c>
      <c r="K161" s="9">
        <f t="shared" si="1"/>
        <v>2</v>
      </c>
      <c r="L161" s="7">
        <f>IFERROR(__xludf.DUMMYFUNCTION("SPLIT(C161,""T""""Z"")"),44798.0)</f>
        <v>44798</v>
      </c>
      <c r="M161" s="8">
        <f>IFERROR(__xludf.DUMMYFUNCTION("""COMPUTED_VALUE"""),0.6059143518518518)</f>
        <v>0.6059143519</v>
      </c>
      <c r="N161" s="10">
        <f t="shared" si="2"/>
        <v>134.5419444</v>
      </c>
      <c r="O161" s="11">
        <f t="shared" si="3"/>
        <v>0.8985313752</v>
      </c>
    </row>
    <row r="162">
      <c r="A162" s="1" t="s">
        <v>515</v>
      </c>
      <c r="B162" s="1" t="s">
        <v>516</v>
      </c>
      <c r="C162" s="1" t="s">
        <v>502</v>
      </c>
      <c r="D162" s="1">
        <v>1.0</v>
      </c>
      <c r="E162" s="1" t="s">
        <v>68</v>
      </c>
      <c r="F162" s="1">
        <v>422.0</v>
      </c>
      <c r="G162" s="1">
        <v>530.0</v>
      </c>
      <c r="H162" s="1">
        <v>230.0</v>
      </c>
      <c r="I162" s="7">
        <f>IFERROR(__xludf.DUMMYFUNCTION("SPLIT(B162,""T""""Z"")"),43890.0)</f>
        <v>43890</v>
      </c>
      <c r="J162" s="8">
        <f>IFERROR(__xludf.DUMMYFUNCTION("""COMPUTED_VALUE"""),0.4470949074074074)</f>
        <v>0.4470949074</v>
      </c>
      <c r="K162" s="9">
        <f t="shared" si="1"/>
        <v>2</v>
      </c>
      <c r="L162" s="7">
        <f>IFERROR(__xludf.DUMMYFUNCTION("SPLIT(C162,""T""""Z"")"),44798.0)</f>
        <v>44798</v>
      </c>
      <c r="M162" s="8">
        <f>IFERROR(__xludf.DUMMYFUNCTION("""COMPUTED_VALUE"""),0.6044675925925926)</f>
        <v>0.6044675926</v>
      </c>
      <c r="N162" s="10">
        <f t="shared" si="2"/>
        <v>134.5072222</v>
      </c>
      <c r="O162" s="11">
        <f t="shared" si="3"/>
        <v>0.4339622642</v>
      </c>
    </row>
    <row r="163">
      <c r="A163" s="1" t="s">
        <v>517</v>
      </c>
      <c r="B163" s="1" t="s">
        <v>518</v>
      </c>
      <c r="C163" s="1" t="s">
        <v>519</v>
      </c>
      <c r="D163" s="1">
        <v>18.0</v>
      </c>
      <c r="E163" s="1" t="s">
        <v>124</v>
      </c>
      <c r="F163" s="1">
        <v>329.0</v>
      </c>
      <c r="G163" s="1">
        <v>2185.0</v>
      </c>
      <c r="H163" s="1">
        <v>1940.0</v>
      </c>
      <c r="I163" s="7">
        <f>IFERROR(__xludf.DUMMYFUNCTION("SPLIT(B163,""T""""Z"")"),41570.0)</f>
        <v>41570</v>
      </c>
      <c r="J163" s="8">
        <f>IFERROR(__xludf.DUMMYFUNCTION("""COMPUTED_VALUE"""),0.6697106481481482)</f>
        <v>0.6697106481</v>
      </c>
      <c r="K163" s="9">
        <f t="shared" si="1"/>
        <v>8</v>
      </c>
      <c r="L163" s="7">
        <f>IFERROR(__xludf.DUMMYFUNCTION("SPLIT(C163,""T""""Z"")"),44798.0)</f>
        <v>44798</v>
      </c>
      <c r="M163" s="8">
        <f>IFERROR(__xludf.DUMMYFUNCTION("""COMPUTED_VALUE"""),0.585787037037037)</f>
        <v>0.585787037</v>
      </c>
      <c r="N163" s="10">
        <f t="shared" si="2"/>
        <v>134.0588889</v>
      </c>
      <c r="O163" s="11">
        <f t="shared" si="3"/>
        <v>0.8878718535</v>
      </c>
    </row>
    <row r="164">
      <c r="A164" s="1" t="s">
        <v>520</v>
      </c>
      <c r="B164" s="1" t="s">
        <v>521</v>
      </c>
      <c r="C164" s="1" t="s">
        <v>522</v>
      </c>
      <c r="D164" s="1">
        <v>10.0</v>
      </c>
      <c r="E164" s="1" t="s">
        <v>38</v>
      </c>
      <c r="F164" s="1">
        <v>513.0</v>
      </c>
      <c r="G164" s="1">
        <v>986.0</v>
      </c>
      <c r="H164" s="1">
        <v>650.0</v>
      </c>
      <c r="I164" s="7">
        <f>IFERROR(__xludf.DUMMYFUNCTION("SPLIT(B164,""T""""Z"")"),42085.0)</f>
        <v>42085</v>
      </c>
      <c r="J164" s="8">
        <f>IFERROR(__xludf.DUMMYFUNCTION("""COMPUTED_VALUE"""),0.7853935185185185)</f>
        <v>0.7853935185</v>
      </c>
      <c r="K164" s="9">
        <f t="shared" si="1"/>
        <v>7</v>
      </c>
      <c r="L164" s="7">
        <f>IFERROR(__xludf.DUMMYFUNCTION("SPLIT(C164,""T""""Z"")"),44798.0)</f>
        <v>44798</v>
      </c>
      <c r="M164" s="8">
        <f>IFERROR(__xludf.DUMMYFUNCTION("""COMPUTED_VALUE"""),0.5933449074074074)</f>
        <v>0.5933449074</v>
      </c>
      <c r="N164" s="10">
        <f t="shared" si="2"/>
        <v>134.2402778</v>
      </c>
      <c r="O164" s="11">
        <f t="shared" si="3"/>
        <v>0.6592292089</v>
      </c>
    </row>
    <row r="165">
      <c r="A165" s="1" t="s">
        <v>523</v>
      </c>
      <c r="B165" s="1" t="s">
        <v>524</v>
      </c>
      <c r="C165" s="1" t="s">
        <v>525</v>
      </c>
      <c r="D165" s="1">
        <v>22.0</v>
      </c>
      <c r="E165" s="1" t="s">
        <v>52</v>
      </c>
      <c r="F165" s="1">
        <v>1282.0</v>
      </c>
      <c r="G165" s="1">
        <v>2391.0</v>
      </c>
      <c r="H165" s="1">
        <v>2039.0</v>
      </c>
      <c r="I165" s="7">
        <f>IFERROR(__xludf.DUMMYFUNCTION("SPLIT(B165,""T""""Z"")"),41863.0)</f>
        <v>41863</v>
      </c>
      <c r="J165" s="8">
        <f>IFERROR(__xludf.DUMMYFUNCTION("""COMPUTED_VALUE"""),0.7534606481481482)</f>
        <v>0.7534606481</v>
      </c>
      <c r="K165" s="9">
        <f t="shared" si="1"/>
        <v>8</v>
      </c>
      <c r="L165" s="7">
        <f>IFERROR(__xludf.DUMMYFUNCTION("SPLIT(C165,""T""""Z"")"),44798.0)</f>
        <v>44798</v>
      </c>
      <c r="M165" s="8">
        <f>IFERROR(__xludf.DUMMYFUNCTION("""COMPUTED_VALUE"""),0.47984953703703703)</f>
        <v>0.479849537</v>
      </c>
      <c r="N165" s="10">
        <f t="shared" si="2"/>
        <v>131.5163889</v>
      </c>
      <c r="O165" s="11">
        <f t="shared" si="3"/>
        <v>0.8527812631</v>
      </c>
    </row>
    <row r="166">
      <c r="A166" s="1" t="s">
        <v>526</v>
      </c>
      <c r="B166" s="1" t="s">
        <v>527</v>
      </c>
      <c r="C166" s="1" t="s">
        <v>528</v>
      </c>
      <c r="D166" s="1">
        <v>16.0</v>
      </c>
      <c r="E166" s="13" t="s">
        <v>22</v>
      </c>
      <c r="F166" s="1">
        <v>40.0</v>
      </c>
      <c r="G166" s="1">
        <v>1151.0</v>
      </c>
      <c r="H166" s="1">
        <v>971.0</v>
      </c>
      <c r="I166" s="7">
        <f>IFERROR(__xludf.DUMMYFUNCTION("SPLIT(B166,""T""""Z"")"),41920.0)</f>
        <v>41920</v>
      </c>
      <c r="J166" s="8">
        <f>IFERROR(__xludf.DUMMYFUNCTION("""COMPUTED_VALUE"""),0.7510185185185185)</f>
        <v>0.7510185185</v>
      </c>
      <c r="K166" s="9">
        <f t="shared" si="1"/>
        <v>7</v>
      </c>
      <c r="L166" s="7">
        <f>IFERROR(__xludf.DUMMYFUNCTION("SPLIT(C166,""T""""Z"")"),44798.0)</f>
        <v>44798</v>
      </c>
      <c r="M166" s="8">
        <f>IFERROR(__xludf.DUMMYFUNCTION("""COMPUTED_VALUE"""),0.5231134259259259)</f>
        <v>0.5231134259</v>
      </c>
      <c r="N166" s="12">
        <f t="shared" si="2"/>
        <v>132.5547222</v>
      </c>
      <c r="O166" s="11">
        <f t="shared" si="3"/>
        <v>0.8436142485</v>
      </c>
    </row>
    <row r="167">
      <c r="A167" s="1" t="s">
        <v>529</v>
      </c>
      <c r="B167" s="1" t="s">
        <v>530</v>
      </c>
      <c r="C167" s="1" t="s">
        <v>531</v>
      </c>
      <c r="D167" s="1">
        <v>229.0</v>
      </c>
      <c r="E167" s="1" t="s">
        <v>95</v>
      </c>
      <c r="F167" s="1">
        <v>3101.0</v>
      </c>
      <c r="G167" s="1">
        <v>3096.0</v>
      </c>
      <c r="H167" s="1">
        <v>3084.0</v>
      </c>
      <c r="I167" s="7">
        <f>IFERROR(__xludf.DUMMYFUNCTION("SPLIT(B167,""T""""Z"")"),41282.0)</f>
        <v>41282</v>
      </c>
      <c r="J167" s="8">
        <f>IFERROR(__xludf.DUMMYFUNCTION("""COMPUTED_VALUE"""),0.8415277777777778)</f>
        <v>0.8415277778</v>
      </c>
      <c r="K167" s="9">
        <f t="shared" si="1"/>
        <v>9</v>
      </c>
      <c r="L167" s="7">
        <f>IFERROR(__xludf.DUMMYFUNCTION("SPLIT(C167,""T""""Z"")"),44798.0)</f>
        <v>44798</v>
      </c>
      <c r="M167" s="8">
        <f>IFERROR(__xludf.DUMMYFUNCTION("""COMPUTED_VALUE"""),0.41550925925925924)</f>
        <v>0.4155092593</v>
      </c>
      <c r="N167" s="10">
        <f t="shared" si="2"/>
        <v>129.9722222</v>
      </c>
      <c r="O167" s="11">
        <f t="shared" si="3"/>
        <v>0.996124031</v>
      </c>
    </row>
    <row r="168">
      <c r="A168" s="1" t="s">
        <v>532</v>
      </c>
      <c r="B168" s="1" t="s">
        <v>533</v>
      </c>
      <c r="C168" s="1" t="s">
        <v>534</v>
      </c>
      <c r="D168" s="1">
        <v>0.0</v>
      </c>
      <c r="E168" s="13" t="s">
        <v>22</v>
      </c>
      <c r="F168" s="1">
        <v>391.0</v>
      </c>
      <c r="G168" s="1">
        <v>95.0</v>
      </c>
      <c r="H168" s="1">
        <v>95.0</v>
      </c>
      <c r="I168" s="7">
        <f>IFERROR(__xludf.DUMMYFUNCTION("SPLIT(B168,""T""""Z"")"),41831.0)</f>
        <v>41831</v>
      </c>
      <c r="J168" s="8">
        <f>IFERROR(__xludf.DUMMYFUNCTION("""COMPUTED_VALUE"""),0.5663657407407408)</f>
        <v>0.5663657407</v>
      </c>
      <c r="K168" s="9">
        <f t="shared" si="1"/>
        <v>8</v>
      </c>
      <c r="L168" s="7">
        <f>IFERROR(__xludf.DUMMYFUNCTION("SPLIT(C168,""T""""Z"")"),44798.0)</f>
        <v>44798</v>
      </c>
      <c r="M168" s="8">
        <f>IFERROR(__xludf.DUMMYFUNCTION("""COMPUTED_VALUE"""),0.41934027777777777)</f>
        <v>0.4193402778</v>
      </c>
      <c r="N168" s="12">
        <f t="shared" si="2"/>
        <v>130.0641667</v>
      </c>
      <c r="O168" s="11">
        <f t="shared" si="3"/>
        <v>1</v>
      </c>
    </row>
    <row r="169">
      <c r="A169" s="1" t="s">
        <v>535</v>
      </c>
      <c r="B169" s="1" t="s">
        <v>536</v>
      </c>
      <c r="C169" s="1" t="s">
        <v>537</v>
      </c>
      <c r="D169" s="1">
        <v>308.0</v>
      </c>
      <c r="E169" s="1" t="s">
        <v>124</v>
      </c>
      <c r="F169" s="1">
        <v>2201.0</v>
      </c>
      <c r="G169" s="1">
        <v>4944.0</v>
      </c>
      <c r="H169" s="1">
        <v>4616.0</v>
      </c>
      <c r="I169" s="7">
        <f>IFERROR(__xludf.DUMMYFUNCTION("SPLIT(B169,""T""""Z"")"),41604.0)</f>
        <v>41604</v>
      </c>
      <c r="J169" s="8">
        <f>IFERROR(__xludf.DUMMYFUNCTION("""COMPUTED_VALUE"""),0.40857638888888886)</f>
        <v>0.4085763889</v>
      </c>
      <c r="K169" s="9">
        <f t="shared" si="1"/>
        <v>8</v>
      </c>
      <c r="L169" s="7">
        <f>IFERROR(__xludf.DUMMYFUNCTION("SPLIT(C169,""T""""Z"")"),44798.0)</f>
        <v>44798</v>
      </c>
      <c r="M169" s="8">
        <f>IFERROR(__xludf.DUMMYFUNCTION("""COMPUTED_VALUE"""),0.5355439814814815)</f>
        <v>0.5355439815</v>
      </c>
      <c r="N169" s="10">
        <f t="shared" si="2"/>
        <v>132.8530556</v>
      </c>
      <c r="O169" s="11">
        <f t="shared" si="3"/>
        <v>0.9336569579</v>
      </c>
    </row>
    <row r="170">
      <c r="A170" s="1" t="s">
        <v>538</v>
      </c>
      <c r="B170" s="1" t="s">
        <v>539</v>
      </c>
      <c r="C170" s="1" t="s">
        <v>540</v>
      </c>
      <c r="D170" s="1">
        <v>17.0</v>
      </c>
      <c r="E170" s="1" t="s">
        <v>206</v>
      </c>
      <c r="F170" s="1">
        <v>595.0</v>
      </c>
      <c r="G170" s="1">
        <v>2421.0</v>
      </c>
      <c r="H170" s="1">
        <v>2272.0</v>
      </c>
      <c r="I170" s="7">
        <f>IFERROR(__xludf.DUMMYFUNCTION("SPLIT(B170,""T""""Z"")"),42392.0)</f>
        <v>42392</v>
      </c>
      <c r="J170" s="8">
        <f>IFERROR(__xludf.DUMMYFUNCTION("""COMPUTED_VALUE"""),0.9920601851851852)</f>
        <v>0.9920601852</v>
      </c>
      <c r="K170" s="9">
        <f t="shared" si="1"/>
        <v>6</v>
      </c>
      <c r="L170" s="7">
        <f>IFERROR(__xludf.DUMMYFUNCTION("SPLIT(C170,""T""""Z"")"),44798.0)</f>
        <v>44798</v>
      </c>
      <c r="M170" s="8">
        <f>IFERROR(__xludf.DUMMYFUNCTION("""COMPUTED_VALUE"""),0.5960300925925925)</f>
        <v>0.5960300926</v>
      </c>
      <c r="N170" s="10">
        <f t="shared" si="2"/>
        <v>134.3047222</v>
      </c>
      <c r="O170" s="11">
        <f t="shared" si="3"/>
        <v>0.9384551838</v>
      </c>
    </row>
    <row r="171">
      <c r="A171" s="1" t="s">
        <v>541</v>
      </c>
      <c r="B171" s="1" t="s">
        <v>542</v>
      </c>
      <c r="C171" s="1" t="s">
        <v>543</v>
      </c>
      <c r="D171" s="1">
        <v>14.0</v>
      </c>
      <c r="E171" s="1" t="s">
        <v>186</v>
      </c>
      <c r="F171" s="1">
        <v>949.0</v>
      </c>
      <c r="G171" s="1">
        <v>865.0</v>
      </c>
      <c r="H171" s="1">
        <v>778.0</v>
      </c>
      <c r="I171" s="7">
        <f>IFERROR(__xludf.DUMMYFUNCTION("SPLIT(B171,""T""""Z"")"),43698.0)</f>
        <v>43698</v>
      </c>
      <c r="J171" s="8">
        <f>IFERROR(__xludf.DUMMYFUNCTION("""COMPUTED_VALUE"""),0.5523611111111111)</f>
        <v>0.5523611111</v>
      </c>
      <c r="K171" s="9">
        <f t="shared" si="1"/>
        <v>3</v>
      </c>
      <c r="L171" s="7">
        <f>IFERROR(__xludf.DUMMYFUNCTION("SPLIT(C171,""T""""Z"")"),44798.0)</f>
        <v>44798</v>
      </c>
      <c r="M171" s="8">
        <f>IFERROR(__xludf.DUMMYFUNCTION("""COMPUTED_VALUE"""),0.49083333333333334)</f>
        <v>0.4908333333</v>
      </c>
      <c r="N171" s="10">
        <f t="shared" si="2"/>
        <v>131.78</v>
      </c>
      <c r="O171" s="11">
        <f t="shared" si="3"/>
        <v>0.8994219653</v>
      </c>
    </row>
    <row r="172">
      <c r="A172" s="1" t="s">
        <v>544</v>
      </c>
      <c r="B172" s="1" t="s">
        <v>545</v>
      </c>
      <c r="C172" s="1" t="s">
        <v>546</v>
      </c>
      <c r="D172" s="1">
        <v>2.0</v>
      </c>
      <c r="E172" s="1" t="s">
        <v>38</v>
      </c>
      <c r="F172" s="1">
        <v>94.0</v>
      </c>
      <c r="G172" s="1">
        <v>1230.0</v>
      </c>
      <c r="H172" s="1">
        <v>567.0</v>
      </c>
      <c r="I172" s="7">
        <f>IFERROR(__xludf.DUMMYFUNCTION("SPLIT(B172,""T""""Z"")"),42797.0)</f>
        <v>42797</v>
      </c>
      <c r="J172" s="8">
        <f>IFERROR(__xludf.DUMMYFUNCTION("""COMPUTED_VALUE"""),0.9115625)</f>
        <v>0.9115625</v>
      </c>
      <c r="K172" s="9">
        <f t="shared" si="1"/>
        <v>5</v>
      </c>
      <c r="L172" s="7">
        <f>IFERROR(__xludf.DUMMYFUNCTION("SPLIT(C172,""T""""Z"")"),44798.0)</f>
        <v>44798</v>
      </c>
      <c r="M172" s="8">
        <f>IFERROR(__xludf.DUMMYFUNCTION("""COMPUTED_VALUE"""),0.5054976851851852)</f>
        <v>0.5054976852</v>
      </c>
      <c r="N172" s="10">
        <f t="shared" si="2"/>
        <v>132.1319444</v>
      </c>
      <c r="O172" s="11">
        <f t="shared" si="3"/>
        <v>0.4609756098</v>
      </c>
    </row>
    <row r="173">
      <c r="A173" s="1" t="s">
        <v>547</v>
      </c>
      <c r="B173" s="1" t="s">
        <v>548</v>
      </c>
      <c r="C173" s="1" t="s">
        <v>549</v>
      </c>
      <c r="D173" s="1">
        <v>35.0</v>
      </c>
      <c r="E173" s="1" t="s">
        <v>95</v>
      </c>
      <c r="F173" s="1">
        <v>363.0</v>
      </c>
      <c r="G173" s="1">
        <v>3382.0</v>
      </c>
      <c r="H173" s="1">
        <v>2727.0</v>
      </c>
      <c r="I173" s="7">
        <f>IFERROR(__xludf.DUMMYFUNCTION("SPLIT(B173,""T""""Z"")"),41788.0)</f>
        <v>41788</v>
      </c>
      <c r="J173" s="8">
        <f>IFERROR(__xludf.DUMMYFUNCTION("""COMPUTED_VALUE"""),0.6828356481481481)</f>
        <v>0.6828356481</v>
      </c>
      <c r="K173" s="9">
        <f t="shared" si="1"/>
        <v>8</v>
      </c>
      <c r="L173" s="7">
        <f>IFERROR(__xludf.DUMMYFUNCTION("SPLIT(C173,""T""""Z"")"),44798.0)</f>
        <v>44798</v>
      </c>
      <c r="M173" s="8">
        <f>IFERROR(__xludf.DUMMYFUNCTION("""COMPUTED_VALUE"""),0.5036805555555556)</f>
        <v>0.5036805556</v>
      </c>
      <c r="N173" s="10">
        <f t="shared" si="2"/>
        <v>132.0883333</v>
      </c>
      <c r="O173" s="11">
        <f t="shared" si="3"/>
        <v>0.8063276168</v>
      </c>
    </row>
    <row r="174">
      <c r="A174" s="1" t="s">
        <v>550</v>
      </c>
      <c r="B174" s="1" t="s">
        <v>551</v>
      </c>
      <c r="C174" s="1" t="s">
        <v>552</v>
      </c>
      <c r="D174" s="1">
        <v>117.0</v>
      </c>
      <c r="E174" s="1" t="s">
        <v>38</v>
      </c>
      <c r="F174" s="1">
        <v>558.0</v>
      </c>
      <c r="G174" s="1">
        <v>0.0</v>
      </c>
      <c r="H174" s="1">
        <v>0.0</v>
      </c>
      <c r="I174" s="7">
        <f>IFERROR(__xludf.DUMMYFUNCTION("SPLIT(B174,""T""""Z"")"),41141.0)</f>
        <v>41141</v>
      </c>
      <c r="J174" s="8">
        <f>IFERROR(__xludf.DUMMYFUNCTION("""COMPUTED_VALUE"""),0.6622222222222223)</f>
        <v>0.6622222222</v>
      </c>
      <c r="K174" s="9">
        <f t="shared" si="1"/>
        <v>10</v>
      </c>
      <c r="L174" s="7">
        <f>IFERROR(__xludf.DUMMYFUNCTION("SPLIT(C174,""T""""Z"")"),44798.0)</f>
        <v>44798</v>
      </c>
      <c r="M174" s="8">
        <f>IFERROR(__xludf.DUMMYFUNCTION("""COMPUTED_VALUE"""),0.6064351851851851)</f>
        <v>0.6064351852</v>
      </c>
      <c r="N174" s="10">
        <f t="shared" si="2"/>
        <v>134.5544444</v>
      </c>
      <c r="O174" s="11">
        <f t="shared" si="3"/>
        <v>0</v>
      </c>
    </row>
    <row r="175">
      <c r="A175" s="1" t="s">
        <v>553</v>
      </c>
      <c r="B175" s="1" t="s">
        <v>554</v>
      </c>
      <c r="C175" s="1" t="s">
        <v>555</v>
      </c>
      <c r="D175" s="1">
        <v>103.0</v>
      </c>
      <c r="E175" s="1" t="s">
        <v>439</v>
      </c>
      <c r="F175" s="1">
        <v>3021.0</v>
      </c>
      <c r="G175" s="1">
        <v>4580.0</v>
      </c>
      <c r="H175" s="1">
        <v>4493.0</v>
      </c>
      <c r="I175" s="7">
        <f>IFERROR(__xludf.DUMMYFUNCTION("SPLIT(B175,""T""""Z"")"),39741.0)</f>
        <v>39741</v>
      </c>
      <c r="J175" s="8">
        <f>IFERROR(__xludf.DUMMYFUNCTION("""COMPUTED_VALUE"""),0.2701736111111111)</f>
        <v>0.2701736111</v>
      </c>
      <c r="K175" s="9">
        <f t="shared" si="1"/>
        <v>13</v>
      </c>
      <c r="L175" s="7">
        <f>IFERROR(__xludf.DUMMYFUNCTION("SPLIT(C175,""T""""Z"")"),44798.0)</f>
        <v>44798</v>
      </c>
      <c r="M175" s="8">
        <f>IFERROR(__xludf.DUMMYFUNCTION("""COMPUTED_VALUE"""),0.5284606481481482)</f>
        <v>0.5284606481</v>
      </c>
      <c r="N175" s="10">
        <f t="shared" si="2"/>
        <v>132.6830556</v>
      </c>
      <c r="O175" s="11">
        <f t="shared" si="3"/>
        <v>0.9810043668</v>
      </c>
    </row>
    <row r="176">
      <c r="A176" s="1" t="s">
        <v>556</v>
      </c>
      <c r="B176" s="1" t="s">
        <v>557</v>
      </c>
      <c r="C176" s="1" t="s">
        <v>558</v>
      </c>
      <c r="D176" s="1">
        <v>0.0</v>
      </c>
      <c r="E176" s="1" t="s">
        <v>48</v>
      </c>
      <c r="F176" s="1">
        <v>385.0</v>
      </c>
      <c r="G176" s="1">
        <v>760.0</v>
      </c>
      <c r="H176" s="1">
        <v>671.0</v>
      </c>
      <c r="I176" s="7">
        <f>IFERROR(__xludf.DUMMYFUNCTION("SPLIT(B176,""T""""Z"")"),44021.0)</f>
        <v>44021</v>
      </c>
      <c r="J176" s="8">
        <f>IFERROR(__xludf.DUMMYFUNCTION("""COMPUTED_VALUE"""),0.4405324074074074)</f>
        <v>0.4405324074</v>
      </c>
      <c r="K176" s="9">
        <f t="shared" si="1"/>
        <v>2</v>
      </c>
      <c r="L176" s="7">
        <f>IFERROR(__xludf.DUMMYFUNCTION("SPLIT(C176,""T""""Z"")"),44798.0)</f>
        <v>44798</v>
      </c>
      <c r="M176" s="8">
        <f>IFERROR(__xludf.DUMMYFUNCTION("""COMPUTED_VALUE"""),0.6002662037037036)</f>
        <v>0.6002662037</v>
      </c>
      <c r="N176" s="10">
        <f t="shared" si="2"/>
        <v>134.4063889</v>
      </c>
      <c r="O176" s="11">
        <f t="shared" si="3"/>
        <v>0.8828947368</v>
      </c>
    </row>
    <row r="177">
      <c r="A177" s="1" t="s">
        <v>559</v>
      </c>
      <c r="B177" s="1" t="s">
        <v>560</v>
      </c>
      <c r="C177" s="1" t="s">
        <v>561</v>
      </c>
      <c r="D177" s="1">
        <v>0.0</v>
      </c>
      <c r="E177" s="1" t="s">
        <v>48</v>
      </c>
      <c r="F177" s="1">
        <v>63.0</v>
      </c>
      <c r="G177" s="1">
        <v>73.0</v>
      </c>
      <c r="H177" s="1">
        <v>38.0</v>
      </c>
      <c r="I177" s="7">
        <f>IFERROR(__xludf.DUMMYFUNCTION("SPLIT(B177,""T""""Z"")"),42329.0)</f>
        <v>42329</v>
      </c>
      <c r="J177" s="8">
        <f>IFERROR(__xludf.DUMMYFUNCTION("""COMPUTED_VALUE"""),0.7952430555555555)</f>
        <v>0.7952430556</v>
      </c>
      <c r="K177" s="9">
        <f t="shared" si="1"/>
        <v>6</v>
      </c>
      <c r="L177" s="7">
        <f>IFERROR(__xludf.DUMMYFUNCTION("SPLIT(C177,""T""""Z"")"),44798.0)</f>
        <v>44798</v>
      </c>
      <c r="M177" s="8">
        <f>IFERROR(__xludf.DUMMYFUNCTION("""COMPUTED_VALUE"""),0.4697222222222222)</f>
        <v>0.4697222222</v>
      </c>
      <c r="N177" s="10">
        <f t="shared" si="2"/>
        <v>131.2733333</v>
      </c>
      <c r="O177" s="11">
        <f t="shared" si="3"/>
        <v>0.5205479452</v>
      </c>
    </row>
    <row r="178">
      <c r="A178" s="1" t="s">
        <v>562</v>
      </c>
      <c r="B178" s="1" t="s">
        <v>563</v>
      </c>
      <c r="C178" s="1" t="s">
        <v>564</v>
      </c>
      <c r="D178" s="1">
        <v>27.0</v>
      </c>
      <c r="E178" s="1" t="s">
        <v>38</v>
      </c>
      <c r="F178" s="1">
        <v>1819.0</v>
      </c>
      <c r="G178" s="1">
        <v>2678.0</v>
      </c>
      <c r="H178" s="1">
        <v>2163.0</v>
      </c>
      <c r="I178" s="7">
        <f>IFERROR(__xludf.DUMMYFUNCTION("SPLIT(B178,""T""""Z"")"),40231.0)</f>
        <v>40231</v>
      </c>
      <c r="J178" s="8">
        <f>IFERROR(__xludf.DUMMYFUNCTION("""COMPUTED_VALUE"""),0.08418981481481481)</f>
        <v>0.08418981481</v>
      </c>
      <c r="K178" s="9">
        <f t="shared" si="1"/>
        <v>12</v>
      </c>
      <c r="L178" s="7">
        <f>IFERROR(__xludf.DUMMYFUNCTION("SPLIT(C178,""T""""Z"")"),44798.0)</f>
        <v>44798</v>
      </c>
      <c r="M178" s="8">
        <f>IFERROR(__xludf.DUMMYFUNCTION("""COMPUTED_VALUE"""),0.45537037037037037)</f>
        <v>0.4553703704</v>
      </c>
      <c r="N178" s="10">
        <f t="shared" si="2"/>
        <v>130.9288889</v>
      </c>
      <c r="O178" s="11">
        <f t="shared" si="3"/>
        <v>0.8076923077</v>
      </c>
    </row>
    <row r="179">
      <c r="A179" s="1" t="s">
        <v>565</v>
      </c>
      <c r="B179" s="1" t="s">
        <v>566</v>
      </c>
      <c r="C179" s="1" t="s">
        <v>567</v>
      </c>
      <c r="D179" s="1">
        <v>225.0</v>
      </c>
      <c r="E179" s="1" t="s">
        <v>124</v>
      </c>
      <c r="F179" s="1">
        <v>4811.0</v>
      </c>
      <c r="G179" s="1">
        <v>4692.0</v>
      </c>
      <c r="H179" s="1">
        <v>4200.0</v>
      </c>
      <c r="I179" s="7">
        <f>IFERROR(__xludf.DUMMYFUNCTION("SPLIT(B179,""T""""Z"")"),41237.0)</f>
        <v>41237</v>
      </c>
      <c r="J179" s="8">
        <f>IFERROR(__xludf.DUMMYFUNCTION("""COMPUTED_VALUE"""),0.46819444444444447)</f>
        <v>0.4681944444</v>
      </c>
      <c r="K179" s="9">
        <f t="shared" si="1"/>
        <v>9</v>
      </c>
      <c r="L179" s="7">
        <f>IFERROR(__xludf.DUMMYFUNCTION("SPLIT(C179,""T""""Z"")"),44798.0)</f>
        <v>44798</v>
      </c>
      <c r="M179" s="8">
        <f>IFERROR(__xludf.DUMMYFUNCTION("""COMPUTED_VALUE"""),0.5253703703703704)</f>
        <v>0.5253703704</v>
      </c>
      <c r="N179" s="10">
        <f t="shared" si="2"/>
        <v>132.6088889</v>
      </c>
      <c r="O179" s="11">
        <f t="shared" si="3"/>
        <v>0.895140665</v>
      </c>
    </row>
    <row r="180">
      <c r="A180" s="1" t="s">
        <v>568</v>
      </c>
      <c r="B180" s="1" t="s">
        <v>569</v>
      </c>
      <c r="C180" s="1" t="s">
        <v>262</v>
      </c>
      <c r="D180" s="1">
        <v>85.0</v>
      </c>
      <c r="E180" s="1" t="s">
        <v>48</v>
      </c>
      <c r="F180" s="1">
        <v>6329.0</v>
      </c>
      <c r="G180" s="1">
        <v>5651.0</v>
      </c>
      <c r="H180" s="1">
        <v>4742.0</v>
      </c>
      <c r="I180" s="7">
        <f>IFERROR(__xludf.DUMMYFUNCTION("SPLIT(B180,""T""""Z"")"),42703.0)</f>
        <v>42703</v>
      </c>
      <c r="J180" s="8">
        <f>IFERROR(__xludf.DUMMYFUNCTION("""COMPUTED_VALUE"""),0.7177893518518519)</f>
        <v>0.7177893519</v>
      </c>
      <c r="K180" s="9">
        <f t="shared" si="1"/>
        <v>5</v>
      </c>
      <c r="L180" s="7">
        <f>IFERROR(__xludf.DUMMYFUNCTION("SPLIT(C180,""T""""Z"")"),44798.0)</f>
        <v>44798</v>
      </c>
      <c r="M180" s="8">
        <f>IFERROR(__xludf.DUMMYFUNCTION("""COMPUTED_VALUE"""),0.5910300925925925)</f>
        <v>0.5910300926</v>
      </c>
      <c r="N180" s="10">
        <f t="shared" si="2"/>
        <v>134.1847222</v>
      </c>
      <c r="O180" s="11">
        <f t="shared" si="3"/>
        <v>0.8391435144</v>
      </c>
    </row>
    <row r="181">
      <c r="A181" s="1" t="s">
        <v>570</v>
      </c>
      <c r="B181" s="1" t="s">
        <v>571</v>
      </c>
      <c r="C181" s="1" t="s">
        <v>572</v>
      </c>
      <c r="D181" s="1">
        <v>0.0</v>
      </c>
      <c r="E181" s="13" t="s">
        <v>22</v>
      </c>
      <c r="F181" s="1">
        <v>90.0</v>
      </c>
      <c r="G181" s="1">
        <v>97.0</v>
      </c>
      <c r="H181" s="1">
        <v>91.0</v>
      </c>
      <c r="I181" s="7">
        <f>IFERROR(__xludf.DUMMYFUNCTION("SPLIT(B181,""T""""Z"")"),41997.0)</f>
        <v>41997</v>
      </c>
      <c r="J181" s="8">
        <f>IFERROR(__xludf.DUMMYFUNCTION("""COMPUTED_VALUE"""),0.07295138888888889)</f>
        <v>0.07295138889</v>
      </c>
      <c r="K181" s="9">
        <f t="shared" si="1"/>
        <v>7</v>
      </c>
      <c r="L181" s="7">
        <f>IFERROR(__xludf.DUMMYFUNCTION("SPLIT(C181,""T""""Z"")"),44798.0)</f>
        <v>44798</v>
      </c>
      <c r="M181" s="8">
        <f>IFERROR(__xludf.DUMMYFUNCTION("""COMPUTED_VALUE"""),0.5314467592592592)</f>
        <v>0.5314467593</v>
      </c>
      <c r="N181" s="12">
        <f t="shared" si="2"/>
        <v>132.7547222</v>
      </c>
      <c r="O181" s="11">
        <f t="shared" si="3"/>
        <v>0.9381443299</v>
      </c>
    </row>
    <row r="182">
      <c r="A182" s="1" t="s">
        <v>573</v>
      </c>
      <c r="B182" s="1" t="s">
        <v>574</v>
      </c>
      <c r="C182" s="1" t="s">
        <v>575</v>
      </c>
      <c r="D182" s="1">
        <v>0.0</v>
      </c>
      <c r="E182" s="13" t="s">
        <v>22</v>
      </c>
      <c r="F182" s="1">
        <v>793.0</v>
      </c>
      <c r="G182" s="1">
        <v>80.0</v>
      </c>
      <c r="H182" s="1">
        <v>80.0</v>
      </c>
      <c r="I182" s="7">
        <f>IFERROR(__xludf.DUMMYFUNCTION("SPLIT(B182,""T""""Z"")"),43957.0)</f>
        <v>43957</v>
      </c>
      <c r="J182" s="8">
        <f>IFERROR(__xludf.DUMMYFUNCTION("""COMPUTED_VALUE"""),0.6115162037037037)</f>
        <v>0.6115162037</v>
      </c>
      <c r="K182" s="9">
        <f t="shared" si="1"/>
        <v>2</v>
      </c>
      <c r="L182" s="7">
        <f>IFERROR(__xludf.DUMMYFUNCTION("SPLIT(C182,""T""""Z"")"),44798.0)</f>
        <v>44798</v>
      </c>
      <c r="M182" s="8">
        <f>IFERROR(__xludf.DUMMYFUNCTION("""COMPUTED_VALUE"""),0.6073958333333334)</f>
        <v>0.6073958333</v>
      </c>
      <c r="N182" s="12">
        <f t="shared" si="2"/>
        <v>134.5775</v>
      </c>
      <c r="O182" s="11">
        <f t="shared" si="3"/>
        <v>1</v>
      </c>
    </row>
    <row r="183">
      <c r="A183" s="1" t="s">
        <v>576</v>
      </c>
      <c r="B183" s="1" t="s">
        <v>577</v>
      </c>
      <c r="C183" s="1" t="s">
        <v>578</v>
      </c>
      <c r="D183" s="1">
        <v>348.0</v>
      </c>
      <c r="E183" s="1" t="s">
        <v>48</v>
      </c>
      <c r="F183" s="1">
        <v>4288.0</v>
      </c>
      <c r="G183" s="1">
        <v>5730.0</v>
      </c>
      <c r="H183" s="1">
        <v>4832.0</v>
      </c>
      <c r="I183" s="7">
        <f>IFERROR(__xludf.DUMMYFUNCTION("SPLIT(B183,""T""""Z"")"),42115.0)</f>
        <v>42115</v>
      </c>
      <c r="J183" s="8">
        <f>IFERROR(__xludf.DUMMYFUNCTION("""COMPUTED_VALUE"""),0.1587962962962963)</f>
        <v>0.1587962963</v>
      </c>
      <c r="K183" s="9">
        <f t="shared" si="1"/>
        <v>7</v>
      </c>
      <c r="L183" s="7">
        <f>IFERROR(__xludf.DUMMYFUNCTION("SPLIT(C183,""T""""Z"")"),44798.0)</f>
        <v>44798</v>
      </c>
      <c r="M183" s="8">
        <f>IFERROR(__xludf.DUMMYFUNCTION("""COMPUTED_VALUE"""),0.519537037037037)</f>
        <v>0.519537037</v>
      </c>
      <c r="N183" s="10">
        <f t="shared" si="2"/>
        <v>132.4688889</v>
      </c>
      <c r="O183" s="11">
        <f t="shared" si="3"/>
        <v>0.8432809773</v>
      </c>
    </row>
    <row r="184">
      <c r="A184" s="1" t="s">
        <v>579</v>
      </c>
      <c r="B184" s="1" t="s">
        <v>580</v>
      </c>
      <c r="C184" s="1" t="s">
        <v>581</v>
      </c>
      <c r="D184" s="1">
        <v>0.0</v>
      </c>
      <c r="E184" s="1" t="s">
        <v>88</v>
      </c>
      <c r="F184" s="1">
        <v>3.0</v>
      </c>
      <c r="G184" s="1">
        <v>0.0</v>
      </c>
      <c r="H184" s="1">
        <v>0.0</v>
      </c>
      <c r="I184" s="7">
        <f>IFERROR(__xludf.DUMMYFUNCTION("SPLIT(B184,""T""""Z"")"),39652.0)</f>
        <v>39652</v>
      </c>
      <c r="J184" s="8">
        <f>IFERROR(__xludf.DUMMYFUNCTION("""COMPUTED_VALUE"""),0.5982175925925926)</f>
        <v>0.5982175926</v>
      </c>
      <c r="K184" s="9">
        <f t="shared" si="1"/>
        <v>14</v>
      </c>
      <c r="L184" s="7">
        <f>IFERROR(__xludf.DUMMYFUNCTION("SPLIT(C184,""T""""Z"")"),44798.0)</f>
        <v>44798</v>
      </c>
      <c r="M184" s="8">
        <f>IFERROR(__xludf.DUMMYFUNCTION("""COMPUTED_VALUE"""),0.587025462962963)</f>
        <v>0.587025463</v>
      </c>
      <c r="N184" s="10">
        <f t="shared" si="2"/>
        <v>134.0886111</v>
      </c>
      <c r="O184" s="11">
        <f t="shared" si="3"/>
        <v>0</v>
      </c>
    </row>
    <row r="185">
      <c r="A185" s="1" t="s">
        <v>582</v>
      </c>
      <c r="B185" s="1" t="s">
        <v>583</v>
      </c>
      <c r="C185" s="1" t="s">
        <v>584</v>
      </c>
      <c r="D185" s="1">
        <v>55.0</v>
      </c>
      <c r="E185" s="1" t="s">
        <v>38</v>
      </c>
      <c r="F185" s="1">
        <v>2590.0</v>
      </c>
      <c r="G185" s="1">
        <v>3824.0</v>
      </c>
      <c r="H185" s="1">
        <v>3521.0</v>
      </c>
      <c r="I185" s="7">
        <f>IFERROR(__xludf.DUMMYFUNCTION("SPLIT(B185,""T""""Z"")"),42668.0)</f>
        <v>42668</v>
      </c>
      <c r="J185" s="8">
        <f>IFERROR(__xludf.DUMMYFUNCTION("""COMPUTED_VALUE"""),0.9917013888888889)</f>
        <v>0.9917013889</v>
      </c>
      <c r="K185" s="9">
        <f t="shared" si="1"/>
        <v>5</v>
      </c>
      <c r="L185" s="7">
        <f>IFERROR(__xludf.DUMMYFUNCTION("SPLIT(C185,""T""""Z"")"),44798.0)</f>
        <v>44798</v>
      </c>
      <c r="M185" s="8">
        <f>IFERROR(__xludf.DUMMYFUNCTION("""COMPUTED_VALUE"""),0.5871296296296297)</f>
        <v>0.5871296296</v>
      </c>
      <c r="N185" s="10">
        <f t="shared" si="2"/>
        <v>134.0911111</v>
      </c>
      <c r="O185" s="11">
        <f t="shared" si="3"/>
        <v>0.9207635983</v>
      </c>
    </row>
    <row r="186">
      <c r="A186" s="1" t="s">
        <v>585</v>
      </c>
      <c r="B186" s="1" t="s">
        <v>586</v>
      </c>
      <c r="C186" s="1" t="s">
        <v>587</v>
      </c>
      <c r="D186" s="1">
        <v>0.0</v>
      </c>
      <c r="E186" s="13" t="s">
        <v>22</v>
      </c>
      <c r="F186" s="1">
        <v>329.0</v>
      </c>
      <c r="G186" s="1">
        <v>101.0</v>
      </c>
      <c r="H186" s="1">
        <v>93.0</v>
      </c>
      <c r="I186" s="7">
        <f>IFERROR(__xludf.DUMMYFUNCTION("SPLIT(B186,""T""""Z"")"),42301.0)</f>
        <v>42301</v>
      </c>
      <c r="J186" s="8">
        <f>IFERROR(__xludf.DUMMYFUNCTION("""COMPUTED_VALUE"""),0.8288888888888889)</f>
        <v>0.8288888889</v>
      </c>
      <c r="K186" s="9">
        <f t="shared" si="1"/>
        <v>6</v>
      </c>
      <c r="L186" s="7">
        <f>IFERROR(__xludf.DUMMYFUNCTION("SPLIT(C186,""T""""Z"")"),44798.0)</f>
        <v>44798</v>
      </c>
      <c r="M186" s="8">
        <f>IFERROR(__xludf.DUMMYFUNCTION("""COMPUTED_VALUE"""),0.5807986111111111)</f>
        <v>0.5807986111</v>
      </c>
      <c r="N186" s="12">
        <f t="shared" si="2"/>
        <v>133.9391667</v>
      </c>
      <c r="O186" s="11">
        <f t="shared" si="3"/>
        <v>0.9207920792</v>
      </c>
    </row>
    <row r="187">
      <c r="A187" s="1" t="s">
        <v>588</v>
      </c>
      <c r="B187" s="1" t="s">
        <v>589</v>
      </c>
      <c r="C187" s="1" t="s">
        <v>590</v>
      </c>
      <c r="D187" s="1">
        <v>14.0</v>
      </c>
      <c r="E187" s="1" t="s">
        <v>48</v>
      </c>
      <c r="F187" s="1">
        <v>72.0</v>
      </c>
      <c r="G187" s="1">
        <v>652.0</v>
      </c>
      <c r="H187" s="1">
        <v>483.0</v>
      </c>
      <c r="I187" s="7">
        <f>IFERROR(__xludf.DUMMYFUNCTION("SPLIT(B187,""T""""Z"")"),42442.0)</f>
        <v>42442</v>
      </c>
      <c r="J187" s="8">
        <f>IFERROR(__xludf.DUMMYFUNCTION("""COMPUTED_VALUE"""),0.9012152777777778)</f>
        <v>0.9012152778</v>
      </c>
      <c r="K187" s="9">
        <f t="shared" si="1"/>
        <v>6</v>
      </c>
      <c r="L187" s="7">
        <f>IFERROR(__xludf.DUMMYFUNCTION("SPLIT(C187,""T""""Z"")"),44798.0)</f>
        <v>44798</v>
      </c>
      <c r="M187" s="8">
        <f>IFERROR(__xludf.DUMMYFUNCTION("""COMPUTED_VALUE"""),0.5264467592592592)</f>
        <v>0.5264467593</v>
      </c>
      <c r="N187" s="10">
        <f t="shared" si="2"/>
        <v>132.6347222</v>
      </c>
      <c r="O187" s="11">
        <f t="shared" si="3"/>
        <v>0.740797546</v>
      </c>
    </row>
    <row r="188">
      <c r="A188" s="1" t="s">
        <v>591</v>
      </c>
      <c r="B188" s="1" t="s">
        <v>592</v>
      </c>
      <c r="C188" s="1" t="s">
        <v>593</v>
      </c>
      <c r="D188" s="1">
        <v>0.0</v>
      </c>
      <c r="E188" s="1" t="s">
        <v>48</v>
      </c>
      <c r="F188" s="1">
        <v>1626.0</v>
      </c>
      <c r="G188" s="1">
        <v>8765.0</v>
      </c>
      <c r="H188" s="1">
        <v>8619.0</v>
      </c>
      <c r="I188" s="7">
        <f>IFERROR(__xludf.DUMMYFUNCTION("SPLIT(B188,""T""""Z"")"),40927.0)</f>
        <v>40927</v>
      </c>
      <c r="J188" s="8">
        <f>IFERROR(__xludf.DUMMYFUNCTION("""COMPUTED_VALUE"""),0.0821412037037037)</f>
        <v>0.0821412037</v>
      </c>
      <c r="K188" s="9">
        <f t="shared" si="1"/>
        <v>10</v>
      </c>
      <c r="L188" s="7">
        <f>IFERROR(__xludf.DUMMYFUNCTION("SPLIT(C188,""T""""Z"")"),44798.0)</f>
        <v>44798</v>
      </c>
      <c r="M188" s="8">
        <f>IFERROR(__xludf.DUMMYFUNCTION("""COMPUTED_VALUE"""),0.5555555555555556)</f>
        <v>0.5555555556</v>
      </c>
      <c r="N188" s="10">
        <f t="shared" si="2"/>
        <v>133.3333333</v>
      </c>
      <c r="O188" s="11">
        <f t="shared" si="3"/>
        <v>0.9833428408</v>
      </c>
    </row>
    <row r="189">
      <c r="A189" s="1" t="s">
        <v>594</v>
      </c>
      <c r="B189" s="1" t="s">
        <v>595</v>
      </c>
      <c r="C189" s="1" t="s">
        <v>596</v>
      </c>
      <c r="D189" s="1">
        <v>0.0</v>
      </c>
      <c r="E189" s="1" t="s">
        <v>38</v>
      </c>
      <c r="F189" s="1">
        <v>90.0</v>
      </c>
      <c r="G189" s="1">
        <v>87.0</v>
      </c>
      <c r="H189" s="1">
        <v>30.0</v>
      </c>
      <c r="I189" s="7">
        <f>IFERROR(__xludf.DUMMYFUNCTION("SPLIT(B189,""T""""Z"")"),42224.0)</f>
        <v>42224</v>
      </c>
      <c r="J189" s="8">
        <f>IFERROR(__xludf.DUMMYFUNCTION("""COMPUTED_VALUE"""),0.8731481481481481)</f>
        <v>0.8731481481</v>
      </c>
      <c r="K189" s="9">
        <f t="shared" si="1"/>
        <v>7</v>
      </c>
      <c r="L189" s="7">
        <f>IFERROR(__xludf.DUMMYFUNCTION("SPLIT(C189,""T""""Z"")"),44798.0)</f>
        <v>44798</v>
      </c>
      <c r="M189" s="8">
        <f>IFERROR(__xludf.DUMMYFUNCTION("""COMPUTED_VALUE"""),0.3204050925925926)</f>
        <v>0.3204050926</v>
      </c>
      <c r="N189" s="10">
        <f t="shared" si="2"/>
        <v>127.6897222</v>
      </c>
      <c r="O189" s="11">
        <f t="shared" si="3"/>
        <v>0.3448275862</v>
      </c>
    </row>
    <row r="190">
      <c r="A190" s="1" t="s">
        <v>597</v>
      </c>
      <c r="B190" s="1" t="s">
        <v>598</v>
      </c>
      <c r="C190" s="1" t="s">
        <v>590</v>
      </c>
      <c r="D190" s="1">
        <v>0.0</v>
      </c>
      <c r="E190" s="1" t="s">
        <v>599</v>
      </c>
      <c r="F190" s="1">
        <v>2926.0</v>
      </c>
      <c r="G190" s="1">
        <v>3699.0</v>
      </c>
      <c r="H190" s="1">
        <v>3562.0</v>
      </c>
      <c r="I190" s="7">
        <f>IFERROR(__xludf.DUMMYFUNCTION("SPLIT(B190,""T""""Z"")"),41113.0)</f>
        <v>41113</v>
      </c>
      <c r="J190" s="8">
        <f>IFERROR(__xludf.DUMMYFUNCTION("""COMPUTED_VALUE"""),0.5714699074074074)</f>
        <v>0.5714699074</v>
      </c>
      <c r="K190" s="9">
        <f t="shared" si="1"/>
        <v>10</v>
      </c>
      <c r="L190" s="7">
        <f>IFERROR(__xludf.DUMMYFUNCTION("SPLIT(C190,""T""""Z"")"),44798.0)</f>
        <v>44798</v>
      </c>
      <c r="M190" s="8">
        <f>IFERROR(__xludf.DUMMYFUNCTION("""COMPUTED_VALUE"""),0.5264467592592592)</f>
        <v>0.5264467593</v>
      </c>
      <c r="N190" s="10">
        <f t="shared" si="2"/>
        <v>132.6347222</v>
      </c>
      <c r="O190" s="11">
        <f t="shared" si="3"/>
        <v>0.962962963</v>
      </c>
    </row>
    <row r="191">
      <c r="A191" s="1" t="s">
        <v>600</v>
      </c>
      <c r="B191" s="1" t="s">
        <v>601</v>
      </c>
      <c r="C191" s="1" t="s">
        <v>602</v>
      </c>
      <c r="D191" s="1">
        <v>0.0</v>
      </c>
      <c r="E191" s="1" t="s">
        <v>38</v>
      </c>
      <c r="F191" s="1">
        <v>9.0</v>
      </c>
      <c r="G191" s="1">
        <v>50.0</v>
      </c>
      <c r="H191" s="1">
        <v>39.0</v>
      </c>
      <c r="I191" s="7">
        <f>IFERROR(__xludf.DUMMYFUNCTION("SPLIT(B191,""T""""Z"")"),43333.0)</f>
        <v>43333</v>
      </c>
      <c r="J191" s="8">
        <f>IFERROR(__xludf.DUMMYFUNCTION("""COMPUTED_VALUE"""),0.4726736111111111)</f>
        <v>0.4726736111</v>
      </c>
      <c r="K191" s="9">
        <f t="shared" si="1"/>
        <v>4</v>
      </c>
      <c r="L191" s="7">
        <f>IFERROR(__xludf.DUMMYFUNCTION("SPLIT(C191,""T""""Z"")"),44798.0)</f>
        <v>44798</v>
      </c>
      <c r="M191" s="8">
        <f>IFERROR(__xludf.DUMMYFUNCTION("""COMPUTED_VALUE"""),0.4091666666666667)</f>
        <v>0.4091666667</v>
      </c>
      <c r="N191" s="10">
        <f t="shared" si="2"/>
        <v>129.82</v>
      </c>
      <c r="O191" s="11">
        <f t="shared" si="3"/>
        <v>0.78</v>
      </c>
    </row>
    <row r="192">
      <c r="A192" s="1" t="s">
        <v>603</v>
      </c>
      <c r="B192" s="1" t="s">
        <v>604</v>
      </c>
      <c r="C192" s="1" t="s">
        <v>605</v>
      </c>
      <c r="D192" s="1">
        <v>189.0</v>
      </c>
      <c r="E192" s="1" t="s">
        <v>599</v>
      </c>
      <c r="F192" s="1">
        <v>1990.0</v>
      </c>
      <c r="G192" s="1">
        <v>0.0</v>
      </c>
      <c r="H192" s="1">
        <v>0.0</v>
      </c>
      <c r="I192" s="7">
        <f>IFERROR(__xludf.DUMMYFUNCTION("SPLIT(B192,""T""""Z"")"),40952.0)</f>
        <v>40952</v>
      </c>
      <c r="J192" s="8">
        <f>IFERROR(__xludf.DUMMYFUNCTION("""COMPUTED_VALUE"""),0.7291435185185186)</f>
        <v>0.7291435185</v>
      </c>
      <c r="K192" s="9">
        <f t="shared" si="1"/>
        <v>10</v>
      </c>
      <c r="L192" s="7">
        <f>IFERROR(__xludf.DUMMYFUNCTION("SPLIT(C192,""T""""Z"")"),44798.0)</f>
        <v>44798</v>
      </c>
      <c r="M192" s="8">
        <f>IFERROR(__xludf.DUMMYFUNCTION("""COMPUTED_VALUE"""),0.6098611111111111)</f>
        <v>0.6098611111</v>
      </c>
      <c r="N192" s="10">
        <f t="shared" si="2"/>
        <v>134.6366667</v>
      </c>
      <c r="O192" s="11">
        <f t="shared" si="3"/>
        <v>0</v>
      </c>
    </row>
    <row r="193">
      <c r="A193" s="1" t="s">
        <v>606</v>
      </c>
      <c r="B193" s="1" t="s">
        <v>607</v>
      </c>
      <c r="C193" s="1" t="s">
        <v>608</v>
      </c>
      <c r="D193" s="1">
        <v>0.0</v>
      </c>
      <c r="E193" s="13" t="s">
        <v>22</v>
      </c>
      <c r="F193" s="1">
        <v>124.0</v>
      </c>
      <c r="G193" s="1">
        <v>83.0</v>
      </c>
      <c r="H193" s="1">
        <v>34.0</v>
      </c>
      <c r="I193" s="7">
        <f>IFERROR(__xludf.DUMMYFUNCTION("SPLIT(B193,""T""""Z"")"),42938.0)</f>
        <v>42938</v>
      </c>
      <c r="J193" s="8">
        <f>IFERROR(__xludf.DUMMYFUNCTION("""COMPUTED_VALUE"""),0.5146180555555555)</f>
        <v>0.5146180556</v>
      </c>
      <c r="K193" s="9">
        <f t="shared" si="1"/>
        <v>5</v>
      </c>
      <c r="L193" s="7">
        <f>IFERROR(__xludf.DUMMYFUNCTION("SPLIT(C193,""T""""Z"")"),44798.0)</f>
        <v>44798</v>
      </c>
      <c r="M193" s="8">
        <f>IFERROR(__xludf.DUMMYFUNCTION("""COMPUTED_VALUE"""),0.5973495370370371)</f>
        <v>0.597349537</v>
      </c>
      <c r="N193" s="12">
        <f t="shared" si="2"/>
        <v>134.3363889</v>
      </c>
      <c r="O193" s="11">
        <f t="shared" si="3"/>
        <v>0.4096385542</v>
      </c>
    </row>
    <row r="194">
      <c r="A194" s="1" t="s">
        <v>609</v>
      </c>
      <c r="B194" s="1" t="s">
        <v>610</v>
      </c>
      <c r="C194" s="1" t="s">
        <v>611</v>
      </c>
      <c r="D194" s="1">
        <v>96.0</v>
      </c>
      <c r="E194" s="1" t="s">
        <v>124</v>
      </c>
      <c r="F194" s="1">
        <v>1405.0</v>
      </c>
      <c r="G194" s="1">
        <v>3084.0</v>
      </c>
      <c r="H194" s="1">
        <v>2993.0</v>
      </c>
      <c r="I194" s="7">
        <f>IFERROR(__xludf.DUMMYFUNCTION("SPLIT(B194,""T""""Z"")"),42017.0)</f>
        <v>42017</v>
      </c>
      <c r="J194" s="8">
        <f>IFERROR(__xludf.DUMMYFUNCTION("""COMPUTED_VALUE"""),0.8229513888888889)</f>
        <v>0.8229513889</v>
      </c>
      <c r="K194" s="9">
        <f t="shared" si="1"/>
        <v>7</v>
      </c>
      <c r="L194" s="7">
        <f>IFERROR(__xludf.DUMMYFUNCTION("SPLIT(C194,""T""""Z"")"),44798.0)</f>
        <v>44798</v>
      </c>
      <c r="M194" s="8">
        <f>IFERROR(__xludf.DUMMYFUNCTION("""COMPUTED_VALUE"""),0.5438425925925926)</f>
        <v>0.5438425926</v>
      </c>
      <c r="N194" s="10">
        <f t="shared" si="2"/>
        <v>133.0522222</v>
      </c>
      <c r="O194" s="11">
        <f t="shared" si="3"/>
        <v>0.9704928664</v>
      </c>
    </row>
    <row r="195">
      <c r="A195" s="1" t="s">
        <v>612</v>
      </c>
      <c r="B195" s="1" t="s">
        <v>613</v>
      </c>
      <c r="C195" s="1" t="s">
        <v>614</v>
      </c>
      <c r="D195" s="1">
        <v>0.0</v>
      </c>
      <c r="E195" s="1" t="s">
        <v>75</v>
      </c>
      <c r="F195" s="1">
        <v>414.0</v>
      </c>
      <c r="G195" s="1">
        <v>0.0</v>
      </c>
      <c r="H195" s="1">
        <v>0.0</v>
      </c>
      <c r="I195" s="7">
        <f>IFERROR(__xludf.DUMMYFUNCTION("SPLIT(B195,""T""""Z"")"),42862.0)</f>
        <v>42862</v>
      </c>
      <c r="J195" s="8">
        <f>IFERROR(__xludf.DUMMYFUNCTION("""COMPUTED_VALUE"""),0.4898958333333333)</f>
        <v>0.4898958333</v>
      </c>
      <c r="K195" s="9">
        <f t="shared" si="1"/>
        <v>5</v>
      </c>
      <c r="L195" s="7">
        <f>IFERROR(__xludf.DUMMYFUNCTION("SPLIT(C195,""T""""Z"")"),44798.0)</f>
        <v>44798</v>
      </c>
      <c r="M195" s="8">
        <f>IFERROR(__xludf.DUMMYFUNCTION("""COMPUTED_VALUE"""),0.5802777777777778)</f>
        <v>0.5802777778</v>
      </c>
      <c r="N195" s="10">
        <f t="shared" si="2"/>
        <v>133.9266667</v>
      </c>
      <c r="O195" s="11">
        <f t="shared" si="3"/>
        <v>0</v>
      </c>
    </row>
    <row r="196">
      <c r="A196" s="1" t="s">
        <v>615</v>
      </c>
      <c r="B196" s="1" t="s">
        <v>616</v>
      </c>
      <c r="C196" s="1" t="s">
        <v>617</v>
      </c>
      <c r="D196" s="1">
        <v>0.0</v>
      </c>
      <c r="E196" s="13" t="s">
        <v>22</v>
      </c>
      <c r="F196" s="1">
        <v>184.0</v>
      </c>
      <c r="G196" s="1">
        <v>64.0</v>
      </c>
      <c r="H196" s="1">
        <v>34.0</v>
      </c>
      <c r="I196" s="7">
        <f>IFERROR(__xludf.DUMMYFUNCTION("SPLIT(B196,""T""""Z"")"),41958.0)</f>
        <v>41958</v>
      </c>
      <c r="J196" s="8">
        <f>IFERROR(__xludf.DUMMYFUNCTION("""COMPUTED_VALUE"""),0.7755671296296296)</f>
        <v>0.7755671296</v>
      </c>
      <c r="K196" s="9">
        <f t="shared" si="1"/>
        <v>7</v>
      </c>
      <c r="L196" s="7">
        <f>IFERROR(__xludf.DUMMYFUNCTION("SPLIT(C196,""T""""Z"")"),44798.0)</f>
        <v>44798</v>
      </c>
      <c r="M196" s="8">
        <f>IFERROR(__xludf.DUMMYFUNCTION("""COMPUTED_VALUE"""),0.6020601851851852)</f>
        <v>0.6020601852</v>
      </c>
      <c r="N196" s="12">
        <f t="shared" si="2"/>
        <v>134.4494444</v>
      </c>
      <c r="O196" s="11">
        <f t="shared" si="3"/>
        <v>0.53125</v>
      </c>
    </row>
    <row r="197">
      <c r="A197" s="1" t="s">
        <v>618</v>
      </c>
      <c r="B197" s="1" t="s">
        <v>619</v>
      </c>
      <c r="C197" s="1" t="s">
        <v>620</v>
      </c>
      <c r="D197" s="1">
        <v>0.0</v>
      </c>
      <c r="E197" s="1" t="s">
        <v>621</v>
      </c>
      <c r="F197" s="1">
        <v>88.0</v>
      </c>
      <c r="G197" s="1">
        <v>230.0</v>
      </c>
      <c r="H197" s="1">
        <v>68.0</v>
      </c>
      <c r="I197" s="7">
        <f>IFERROR(__xludf.DUMMYFUNCTION("SPLIT(B197,""T""""Z"")"),42319.0)</f>
        <v>42319</v>
      </c>
      <c r="J197" s="8">
        <f>IFERROR(__xludf.DUMMYFUNCTION("""COMPUTED_VALUE"""),0.5981365740740741)</f>
        <v>0.5981365741</v>
      </c>
      <c r="K197" s="9">
        <f t="shared" si="1"/>
        <v>6</v>
      </c>
      <c r="L197" s="7">
        <f>IFERROR(__xludf.DUMMYFUNCTION("SPLIT(C197,""T""""Z"")"),44798.0)</f>
        <v>44798</v>
      </c>
      <c r="M197" s="8">
        <f>IFERROR(__xludf.DUMMYFUNCTION("""COMPUTED_VALUE"""),0.2255324074074074)</f>
        <v>0.2255324074</v>
      </c>
      <c r="N197" s="10">
        <f t="shared" si="2"/>
        <v>125.4127778</v>
      </c>
      <c r="O197" s="11">
        <f t="shared" si="3"/>
        <v>0.2956521739</v>
      </c>
    </row>
    <row r="198">
      <c r="A198" s="1" t="s">
        <v>622</v>
      </c>
      <c r="B198" s="1" t="s">
        <v>623</v>
      </c>
      <c r="C198" s="1" t="s">
        <v>624</v>
      </c>
      <c r="D198" s="1">
        <v>3.0</v>
      </c>
      <c r="E198" s="1" t="s">
        <v>38</v>
      </c>
      <c r="F198" s="1">
        <v>343.0</v>
      </c>
      <c r="G198" s="1">
        <v>774.0</v>
      </c>
      <c r="H198" s="1">
        <v>760.0</v>
      </c>
      <c r="I198" s="7">
        <f>IFERROR(__xludf.DUMMYFUNCTION("SPLIT(B198,""T""""Z"")"),43088.0)</f>
        <v>43088</v>
      </c>
      <c r="J198" s="8">
        <f>IFERROR(__xludf.DUMMYFUNCTION("""COMPUTED_VALUE"""),0.4057060185185185)</f>
        <v>0.4057060185</v>
      </c>
      <c r="K198" s="9">
        <f t="shared" si="1"/>
        <v>4</v>
      </c>
      <c r="L198" s="7">
        <f>IFERROR(__xludf.DUMMYFUNCTION("SPLIT(C198,""T""""Z"")"),44798.0)</f>
        <v>44798</v>
      </c>
      <c r="M198" s="8">
        <f>IFERROR(__xludf.DUMMYFUNCTION("""COMPUTED_VALUE"""),0.6097916666666666)</f>
        <v>0.6097916667</v>
      </c>
      <c r="N198" s="10">
        <f t="shared" si="2"/>
        <v>134.635</v>
      </c>
      <c r="O198" s="11">
        <f t="shared" si="3"/>
        <v>0.9819121447</v>
      </c>
    </row>
    <row r="199">
      <c r="A199" s="1" t="s">
        <v>625</v>
      </c>
      <c r="B199" s="1" t="s">
        <v>626</v>
      </c>
      <c r="C199" s="1" t="s">
        <v>627</v>
      </c>
      <c r="D199" s="1">
        <v>0.0</v>
      </c>
      <c r="E199" s="13" t="s">
        <v>22</v>
      </c>
      <c r="F199" s="1">
        <v>106.0</v>
      </c>
      <c r="G199" s="1">
        <v>81.0</v>
      </c>
      <c r="H199" s="1">
        <v>74.0</v>
      </c>
      <c r="I199" s="7">
        <f>IFERROR(__xludf.DUMMYFUNCTION("SPLIT(B199,""T""""Z"")"),42664.0)</f>
        <v>42664</v>
      </c>
      <c r="J199" s="8">
        <f>IFERROR(__xludf.DUMMYFUNCTION("""COMPUTED_VALUE"""),0.709849537037037)</f>
        <v>0.709849537</v>
      </c>
      <c r="K199" s="9">
        <f t="shared" si="1"/>
        <v>5</v>
      </c>
      <c r="L199" s="7">
        <f>IFERROR(__xludf.DUMMYFUNCTION("SPLIT(C199,""T""""Z"")"),44798.0)</f>
        <v>44798</v>
      </c>
      <c r="M199" s="8">
        <f>IFERROR(__xludf.DUMMYFUNCTION("""COMPUTED_VALUE"""),0.6008564814814815)</f>
        <v>0.6008564815</v>
      </c>
      <c r="N199" s="12">
        <f t="shared" si="2"/>
        <v>134.4205556</v>
      </c>
      <c r="O199" s="11">
        <f t="shared" si="3"/>
        <v>0.9135802469</v>
      </c>
    </row>
    <row r="200">
      <c r="A200" s="1" t="s">
        <v>628</v>
      </c>
      <c r="B200" s="1" t="s">
        <v>629</v>
      </c>
      <c r="C200" s="1" t="s">
        <v>107</v>
      </c>
      <c r="D200" s="1">
        <v>81.0</v>
      </c>
      <c r="E200" s="1" t="s">
        <v>18</v>
      </c>
      <c r="F200" s="1">
        <v>8435.0</v>
      </c>
      <c r="G200" s="1">
        <v>6595.0</v>
      </c>
      <c r="H200" s="1">
        <v>5967.0</v>
      </c>
      <c r="I200" s="7">
        <f>IFERROR(__xludf.DUMMYFUNCTION("SPLIT(B200,""T""""Z"")"),43784.0)</f>
        <v>43784</v>
      </c>
      <c r="J200" s="8">
        <f>IFERROR(__xludf.DUMMYFUNCTION("""COMPUTED_VALUE"""),0.7727083333333333)</f>
        <v>0.7727083333</v>
      </c>
      <c r="K200" s="9">
        <f t="shared" si="1"/>
        <v>2</v>
      </c>
      <c r="L200" s="7">
        <f>IFERROR(__xludf.DUMMYFUNCTION("SPLIT(C200,""T""""Z"")"),44798.0)</f>
        <v>44798</v>
      </c>
      <c r="M200" s="8">
        <f>IFERROR(__xludf.DUMMYFUNCTION("""COMPUTED_VALUE"""),0.5981481481481481)</f>
        <v>0.5981481481</v>
      </c>
      <c r="N200" s="10">
        <f t="shared" si="2"/>
        <v>134.3555556</v>
      </c>
      <c r="O200" s="11">
        <f t="shared" si="3"/>
        <v>0.9047763457</v>
      </c>
    </row>
    <row r="201">
      <c r="A201" s="1" t="s">
        <v>630</v>
      </c>
      <c r="B201" s="1" t="s">
        <v>631</v>
      </c>
      <c r="C201" s="1" t="s">
        <v>632</v>
      </c>
      <c r="D201" s="1">
        <v>72.0</v>
      </c>
      <c r="E201" s="1" t="s">
        <v>48</v>
      </c>
      <c r="F201" s="1">
        <v>1132.0</v>
      </c>
      <c r="G201" s="1">
        <v>2696.0</v>
      </c>
      <c r="H201" s="1">
        <v>2647.0</v>
      </c>
      <c r="I201" s="7">
        <f>IFERROR(__xludf.DUMMYFUNCTION("SPLIT(B201,""T""""Z"")"),41633.0)</f>
        <v>41633</v>
      </c>
      <c r="J201" s="8">
        <f>IFERROR(__xludf.DUMMYFUNCTION("""COMPUTED_VALUE"""),0.11990740740740741)</f>
        <v>0.1199074074</v>
      </c>
      <c r="K201" s="9">
        <f t="shared" si="1"/>
        <v>8</v>
      </c>
      <c r="L201" s="7">
        <f>IFERROR(__xludf.DUMMYFUNCTION("SPLIT(C201,""T""""Z"")"),44798.0)</f>
        <v>44798</v>
      </c>
      <c r="M201" s="8">
        <f>IFERROR(__xludf.DUMMYFUNCTION("""COMPUTED_VALUE"""),0.5608333333333333)</f>
        <v>0.5608333333</v>
      </c>
      <c r="N201" s="10">
        <f t="shared" si="2"/>
        <v>133.46</v>
      </c>
      <c r="O201" s="11">
        <f t="shared" si="3"/>
        <v>0.9818249258</v>
      </c>
    </row>
    <row r="202">
      <c r="A202" s="1" t="s">
        <v>633</v>
      </c>
      <c r="B202" s="1" t="s">
        <v>634</v>
      </c>
      <c r="C202" s="1" t="s">
        <v>635</v>
      </c>
      <c r="D202" s="1">
        <v>0.0</v>
      </c>
      <c r="E202" s="1" t="s">
        <v>599</v>
      </c>
      <c r="F202" s="1">
        <v>194.0</v>
      </c>
      <c r="G202" s="1">
        <v>434.0</v>
      </c>
      <c r="H202" s="1">
        <v>289.0</v>
      </c>
      <c r="I202" s="7">
        <f>IFERROR(__xludf.DUMMYFUNCTION("SPLIT(B202,""T""""Z"")"),42405.0)</f>
        <v>42405</v>
      </c>
      <c r="J202" s="8">
        <f>IFERROR(__xludf.DUMMYFUNCTION("""COMPUTED_VALUE"""),0.5709143518518518)</f>
        <v>0.5709143519</v>
      </c>
      <c r="K202" s="9">
        <f t="shared" si="1"/>
        <v>6</v>
      </c>
      <c r="L202" s="7">
        <f>IFERROR(__xludf.DUMMYFUNCTION("SPLIT(C202,""T""""Z"")"),44798.0)</f>
        <v>44798</v>
      </c>
      <c r="M202" s="8">
        <f>IFERROR(__xludf.DUMMYFUNCTION("""COMPUTED_VALUE"""),0.5861921296296296)</f>
        <v>0.5861921296</v>
      </c>
      <c r="N202" s="10">
        <f t="shared" si="2"/>
        <v>134.0686111</v>
      </c>
      <c r="O202" s="11">
        <f t="shared" si="3"/>
        <v>0.6658986175</v>
      </c>
    </row>
    <row r="203">
      <c r="A203" s="1" t="s">
        <v>636</v>
      </c>
      <c r="B203" s="1" t="s">
        <v>637</v>
      </c>
      <c r="C203" s="1" t="s">
        <v>363</v>
      </c>
      <c r="D203" s="1">
        <v>71.0</v>
      </c>
      <c r="E203" s="1" t="s">
        <v>161</v>
      </c>
      <c r="F203" s="1">
        <v>1456.0</v>
      </c>
      <c r="G203" s="1">
        <v>4362.0</v>
      </c>
      <c r="H203" s="1">
        <v>4060.0</v>
      </c>
      <c r="I203" s="7">
        <f>IFERROR(__xludf.DUMMYFUNCTION("SPLIT(B203,""T""""Z"")"),42418.0)</f>
        <v>42418</v>
      </c>
      <c r="J203" s="8">
        <f>IFERROR(__xludf.DUMMYFUNCTION("""COMPUTED_VALUE"""),0.21006944444444445)</f>
        <v>0.2100694444</v>
      </c>
      <c r="K203" s="9">
        <f t="shared" si="1"/>
        <v>6</v>
      </c>
      <c r="L203" s="7">
        <f>IFERROR(__xludf.DUMMYFUNCTION("SPLIT(C203,""T""""Z"")"),44798.0)</f>
        <v>44798</v>
      </c>
      <c r="M203" s="8">
        <f>IFERROR(__xludf.DUMMYFUNCTION("""COMPUTED_VALUE"""),0.6095486111111111)</f>
        <v>0.6095486111</v>
      </c>
      <c r="N203" s="10">
        <f t="shared" si="2"/>
        <v>134.6291667</v>
      </c>
      <c r="O203" s="11">
        <f t="shared" si="3"/>
        <v>0.9307657038</v>
      </c>
    </row>
    <row r="204">
      <c r="A204" s="1" t="s">
        <v>638</v>
      </c>
      <c r="B204" s="1" t="s">
        <v>639</v>
      </c>
      <c r="C204" s="1" t="s">
        <v>640</v>
      </c>
      <c r="D204" s="1">
        <v>17.0</v>
      </c>
      <c r="E204" s="1" t="s">
        <v>228</v>
      </c>
      <c r="F204" s="1">
        <v>449.0</v>
      </c>
      <c r="G204" s="1">
        <v>197.0</v>
      </c>
      <c r="H204" s="1">
        <v>173.0</v>
      </c>
      <c r="I204" s="7">
        <f>IFERROR(__xludf.DUMMYFUNCTION("SPLIT(B204,""T""""Z"")"),40958.0)</f>
        <v>40958</v>
      </c>
      <c r="J204" s="8">
        <f>IFERROR(__xludf.DUMMYFUNCTION("""COMPUTED_VALUE"""),0.06270833333333334)</f>
        <v>0.06270833333</v>
      </c>
      <c r="K204" s="9">
        <f t="shared" si="1"/>
        <v>10</v>
      </c>
      <c r="L204" s="7">
        <f>IFERROR(__xludf.DUMMYFUNCTION("SPLIT(C204,""T""""Z"")"),44798.0)</f>
        <v>44798</v>
      </c>
      <c r="M204" s="8">
        <f>IFERROR(__xludf.DUMMYFUNCTION("""COMPUTED_VALUE"""),0.6065972222222222)</f>
        <v>0.6065972222</v>
      </c>
      <c r="N204" s="10">
        <f t="shared" si="2"/>
        <v>134.5583333</v>
      </c>
      <c r="O204" s="11">
        <f t="shared" si="3"/>
        <v>0.8781725888</v>
      </c>
    </row>
    <row r="205">
      <c r="A205" s="1" t="s">
        <v>641</v>
      </c>
      <c r="B205" s="1" t="s">
        <v>642</v>
      </c>
      <c r="C205" s="1" t="s">
        <v>643</v>
      </c>
      <c r="D205" s="1">
        <v>313.0</v>
      </c>
      <c r="E205" s="1" t="s">
        <v>18</v>
      </c>
      <c r="F205" s="1">
        <v>4882.0</v>
      </c>
      <c r="G205" s="1">
        <v>8232.0</v>
      </c>
      <c r="H205" s="1">
        <v>7588.0</v>
      </c>
      <c r="I205" s="7">
        <f>IFERROR(__xludf.DUMMYFUNCTION("SPLIT(B205,""T""""Z"")"),41910.0)</f>
        <v>41910</v>
      </c>
      <c r="J205" s="8">
        <f>IFERROR(__xludf.DUMMYFUNCTION("""COMPUTED_VALUE"""),0.5683217592592592)</f>
        <v>0.5683217593</v>
      </c>
      <c r="K205" s="9">
        <f t="shared" si="1"/>
        <v>7</v>
      </c>
      <c r="L205" s="7">
        <f>IFERROR(__xludf.DUMMYFUNCTION("SPLIT(C205,""T""""Z"")"),44798.0)</f>
        <v>44798</v>
      </c>
      <c r="M205" s="8">
        <f>IFERROR(__xludf.DUMMYFUNCTION("""COMPUTED_VALUE"""),0.6092939814814815)</f>
        <v>0.6092939815</v>
      </c>
      <c r="N205" s="10">
        <f t="shared" si="2"/>
        <v>134.6230556</v>
      </c>
      <c r="O205" s="11">
        <f t="shared" si="3"/>
        <v>0.9217687075</v>
      </c>
    </row>
    <row r="206">
      <c r="A206" s="1" t="s">
        <v>644</v>
      </c>
      <c r="B206" s="1" t="s">
        <v>645</v>
      </c>
      <c r="C206" s="1" t="s">
        <v>646</v>
      </c>
      <c r="D206" s="1">
        <v>21.0</v>
      </c>
      <c r="E206" s="1" t="s">
        <v>48</v>
      </c>
      <c r="F206" s="1">
        <v>2009.0</v>
      </c>
      <c r="G206" s="1">
        <v>4787.0</v>
      </c>
      <c r="H206" s="1">
        <v>4109.0</v>
      </c>
      <c r="I206" s="7">
        <f>IFERROR(__xludf.DUMMYFUNCTION("SPLIT(B206,""T""""Z"")"),42954.0)</f>
        <v>42954</v>
      </c>
      <c r="J206" s="8">
        <f>IFERROR(__xludf.DUMMYFUNCTION("""COMPUTED_VALUE"""),0.6922106481481481)</f>
        <v>0.6922106481</v>
      </c>
      <c r="K206" s="9">
        <f t="shared" si="1"/>
        <v>5</v>
      </c>
      <c r="L206" s="7">
        <f>IFERROR(__xludf.DUMMYFUNCTION("SPLIT(C206,""T""""Z"")"),44798.0)</f>
        <v>44798</v>
      </c>
      <c r="M206" s="8">
        <f>IFERROR(__xludf.DUMMYFUNCTION("""COMPUTED_VALUE"""),0.5781828703703704)</f>
        <v>0.5781828704</v>
      </c>
      <c r="N206" s="10">
        <f t="shared" si="2"/>
        <v>133.8763889</v>
      </c>
      <c r="O206" s="11">
        <f t="shared" si="3"/>
        <v>0.858366409</v>
      </c>
    </row>
    <row r="207">
      <c r="A207" s="1" t="s">
        <v>647</v>
      </c>
      <c r="B207" s="1" t="s">
        <v>648</v>
      </c>
      <c r="C207" s="1" t="s">
        <v>649</v>
      </c>
      <c r="D207" s="1">
        <v>150.0</v>
      </c>
      <c r="E207" s="1" t="s">
        <v>48</v>
      </c>
      <c r="F207" s="1">
        <v>2356.0</v>
      </c>
      <c r="G207" s="1">
        <v>6788.0</v>
      </c>
      <c r="H207" s="1">
        <v>6335.0</v>
      </c>
      <c r="I207" s="7">
        <f>IFERROR(__xludf.DUMMYFUNCTION("SPLIT(B207,""T""""Z"")"),42669.0)</f>
        <v>42669</v>
      </c>
      <c r="J207" s="8">
        <f>IFERROR(__xludf.DUMMYFUNCTION("""COMPUTED_VALUE"""),0.4713773148148148)</f>
        <v>0.4713773148</v>
      </c>
      <c r="K207" s="9">
        <f t="shared" si="1"/>
        <v>5</v>
      </c>
      <c r="L207" s="7">
        <f>IFERROR(__xludf.DUMMYFUNCTION("SPLIT(C207,""T""""Z"")"),44798.0)</f>
        <v>44798</v>
      </c>
      <c r="M207" s="8">
        <f>IFERROR(__xludf.DUMMYFUNCTION("""COMPUTED_VALUE"""),0.515011574074074)</f>
        <v>0.5150115741</v>
      </c>
      <c r="N207" s="10">
        <f t="shared" si="2"/>
        <v>132.3602778</v>
      </c>
      <c r="O207" s="11">
        <f t="shared" si="3"/>
        <v>0.9332645846</v>
      </c>
    </row>
    <row r="208">
      <c r="A208" s="1" t="s">
        <v>650</v>
      </c>
      <c r="B208" s="1" t="s">
        <v>651</v>
      </c>
      <c r="C208" s="1" t="s">
        <v>652</v>
      </c>
      <c r="D208" s="1">
        <v>213.0</v>
      </c>
      <c r="E208" s="1" t="s">
        <v>124</v>
      </c>
      <c r="F208" s="1">
        <v>6916.0</v>
      </c>
      <c r="G208" s="1">
        <v>5896.0</v>
      </c>
      <c r="H208" s="1">
        <v>5733.0</v>
      </c>
      <c r="I208" s="7">
        <f>IFERROR(__xludf.DUMMYFUNCTION("SPLIT(B208,""T""""Z"")"),41461.0)</f>
        <v>41461</v>
      </c>
      <c r="J208" s="8">
        <f>IFERROR(__xludf.DUMMYFUNCTION("""COMPUTED_VALUE"""),0.9148263888888889)</f>
        <v>0.9148263889</v>
      </c>
      <c r="K208" s="9">
        <f t="shared" si="1"/>
        <v>9</v>
      </c>
      <c r="L208" s="7">
        <f>IFERROR(__xludf.DUMMYFUNCTION("SPLIT(C208,""T""""Z"")"),44798.0)</f>
        <v>44798</v>
      </c>
      <c r="M208" s="8">
        <f>IFERROR(__xludf.DUMMYFUNCTION("""COMPUTED_VALUE"""),0.551400462962963)</f>
        <v>0.551400463</v>
      </c>
      <c r="N208" s="10">
        <f t="shared" si="2"/>
        <v>133.2336111</v>
      </c>
      <c r="O208" s="11">
        <f t="shared" si="3"/>
        <v>0.9723541384</v>
      </c>
    </row>
    <row r="209">
      <c r="A209" s="1" t="s">
        <v>653</v>
      </c>
      <c r="B209" s="1" t="s">
        <v>654</v>
      </c>
      <c r="C209" s="1" t="s">
        <v>655</v>
      </c>
      <c r="D209" s="1">
        <v>553.0</v>
      </c>
      <c r="E209" s="1" t="s">
        <v>48</v>
      </c>
      <c r="F209" s="1">
        <v>6802.0</v>
      </c>
      <c r="G209" s="1">
        <v>6396.0</v>
      </c>
      <c r="H209" s="1">
        <v>6368.0</v>
      </c>
      <c r="I209" s="7">
        <f>IFERROR(__xludf.DUMMYFUNCTION("SPLIT(B209,""T""""Z"")"),41398.0)</f>
        <v>41398</v>
      </c>
      <c r="J209" s="8">
        <f>IFERROR(__xludf.DUMMYFUNCTION("""COMPUTED_VALUE"""),0.4647337962962963)</f>
        <v>0.4647337963</v>
      </c>
      <c r="K209" s="9">
        <f t="shared" si="1"/>
        <v>9</v>
      </c>
      <c r="L209" s="7">
        <f>IFERROR(__xludf.DUMMYFUNCTION("SPLIT(C209,""T""""Z"")"),44798.0)</f>
        <v>44798</v>
      </c>
      <c r="M209" s="8">
        <f>IFERROR(__xludf.DUMMYFUNCTION("""COMPUTED_VALUE"""),0.5393634259259259)</f>
        <v>0.5393634259</v>
      </c>
      <c r="N209" s="10">
        <f t="shared" si="2"/>
        <v>132.9447222</v>
      </c>
      <c r="O209" s="11">
        <f t="shared" si="3"/>
        <v>0.9956222639</v>
      </c>
    </row>
    <row r="210">
      <c r="A210" s="1" t="s">
        <v>656</v>
      </c>
      <c r="B210" s="1" t="s">
        <v>657</v>
      </c>
      <c r="C210" s="1" t="s">
        <v>658</v>
      </c>
      <c r="D210" s="1">
        <v>150.0</v>
      </c>
      <c r="E210" s="1" t="s">
        <v>48</v>
      </c>
      <c r="F210" s="1">
        <v>1652.0</v>
      </c>
      <c r="G210" s="1">
        <v>6412.0</v>
      </c>
      <c r="H210" s="1">
        <v>4584.0</v>
      </c>
      <c r="I210" s="7">
        <f>IFERROR(__xludf.DUMMYFUNCTION("SPLIT(B210,""T""""Z"")"),42388.0)</f>
        <v>42388</v>
      </c>
      <c r="J210" s="8">
        <f>IFERROR(__xludf.DUMMYFUNCTION("""COMPUTED_VALUE"""),0.7356018518518519)</f>
        <v>0.7356018519</v>
      </c>
      <c r="K210" s="9">
        <f t="shared" si="1"/>
        <v>6</v>
      </c>
      <c r="L210" s="7">
        <f>IFERROR(__xludf.DUMMYFUNCTION("SPLIT(C210,""T""""Z"")"),44798.0)</f>
        <v>44798</v>
      </c>
      <c r="M210" s="8">
        <f>IFERROR(__xludf.DUMMYFUNCTION("""COMPUTED_VALUE"""),0.44166666666666665)</f>
        <v>0.4416666667</v>
      </c>
      <c r="N210" s="10">
        <f t="shared" si="2"/>
        <v>130.6</v>
      </c>
      <c r="O210" s="11">
        <f t="shared" si="3"/>
        <v>0.7149095446</v>
      </c>
    </row>
    <row r="211">
      <c r="A211" s="1" t="s">
        <v>659</v>
      </c>
      <c r="B211" s="1" t="s">
        <v>660</v>
      </c>
      <c r="C211" s="1" t="s">
        <v>661</v>
      </c>
      <c r="D211" s="1">
        <v>0.0</v>
      </c>
      <c r="E211" s="1" t="s">
        <v>124</v>
      </c>
      <c r="F211" s="1">
        <v>757.0</v>
      </c>
      <c r="G211" s="1">
        <v>289.0</v>
      </c>
      <c r="H211" s="1">
        <v>181.0</v>
      </c>
      <c r="I211" s="7">
        <f>IFERROR(__xludf.DUMMYFUNCTION("SPLIT(B211,""T""""Z"")"),41123.0)</f>
        <v>41123</v>
      </c>
      <c r="J211" s="8">
        <f>IFERROR(__xludf.DUMMYFUNCTION("""COMPUTED_VALUE"""),0.4927662037037037)</f>
        <v>0.4927662037</v>
      </c>
      <c r="K211" s="9">
        <f t="shared" si="1"/>
        <v>10</v>
      </c>
      <c r="L211" s="7">
        <f>IFERROR(__xludf.DUMMYFUNCTION("SPLIT(C211,""T""""Z"")"),44798.0)</f>
        <v>44798</v>
      </c>
      <c r="M211" s="8">
        <f>IFERROR(__xludf.DUMMYFUNCTION("""COMPUTED_VALUE"""),0.598912037037037)</f>
        <v>0.598912037</v>
      </c>
      <c r="N211" s="10">
        <f t="shared" si="2"/>
        <v>134.3738889</v>
      </c>
      <c r="O211" s="11">
        <f t="shared" si="3"/>
        <v>0.6262975779</v>
      </c>
    </row>
    <row r="212">
      <c r="A212" s="1" t="s">
        <v>662</v>
      </c>
      <c r="B212" s="1" t="s">
        <v>663</v>
      </c>
      <c r="C212" s="1" t="s">
        <v>664</v>
      </c>
      <c r="D212" s="1">
        <v>74.0</v>
      </c>
      <c r="E212" s="1" t="s">
        <v>124</v>
      </c>
      <c r="F212" s="1">
        <v>1443.0</v>
      </c>
      <c r="G212" s="1">
        <v>4923.0</v>
      </c>
      <c r="H212" s="1">
        <v>4134.0</v>
      </c>
      <c r="I212" s="7">
        <f>IFERROR(__xludf.DUMMYFUNCTION("SPLIT(B212,""T""""Z"")"),41682.0)</f>
        <v>41682</v>
      </c>
      <c r="J212" s="8">
        <f>IFERROR(__xludf.DUMMYFUNCTION("""COMPUTED_VALUE"""),0.08134259259259259)</f>
        <v>0.08134259259</v>
      </c>
      <c r="K212" s="9">
        <f t="shared" si="1"/>
        <v>8</v>
      </c>
      <c r="L212" s="7">
        <f>IFERROR(__xludf.DUMMYFUNCTION("SPLIT(C212,""T""""Z"")"),44798.0)</f>
        <v>44798</v>
      </c>
      <c r="M212" s="8">
        <f>IFERROR(__xludf.DUMMYFUNCTION("""COMPUTED_VALUE"""),0.5855671296296296)</f>
        <v>0.5855671296</v>
      </c>
      <c r="N212" s="10">
        <f t="shared" si="2"/>
        <v>134.0536111</v>
      </c>
      <c r="O212" s="11">
        <f t="shared" si="3"/>
        <v>0.8397318708</v>
      </c>
    </row>
    <row r="213">
      <c r="A213" s="1" t="s">
        <v>665</v>
      </c>
      <c r="B213" s="1" t="s">
        <v>666</v>
      </c>
      <c r="C213" s="1" t="s">
        <v>667</v>
      </c>
      <c r="D213" s="1">
        <v>79.0</v>
      </c>
      <c r="E213" s="1" t="s">
        <v>52</v>
      </c>
      <c r="F213" s="1">
        <v>290.0</v>
      </c>
      <c r="G213" s="1">
        <v>4222.0</v>
      </c>
      <c r="H213" s="1">
        <v>3569.0</v>
      </c>
      <c r="I213" s="7">
        <f>IFERROR(__xludf.DUMMYFUNCTION("SPLIT(B213,""T""""Z"")"),41841.0)</f>
        <v>41841</v>
      </c>
      <c r="J213" s="8">
        <f>IFERROR(__xludf.DUMMYFUNCTION("""COMPUTED_VALUE"""),0.6040162037037037)</f>
        <v>0.6040162037</v>
      </c>
      <c r="K213" s="9">
        <f t="shared" si="1"/>
        <v>8</v>
      </c>
      <c r="L213" s="7">
        <f>IFERROR(__xludf.DUMMYFUNCTION("SPLIT(C213,""T""""Z"")"),44798.0)</f>
        <v>44798</v>
      </c>
      <c r="M213" s="8">
        <f>IFERROR(__xludf.DUMMYFUNCTION("""COMPUTED_VALUE"""),0.5936342592592593)</f>
        <v>0.5936342593</v>
      </c>
      <c r="N213" s="10">
        <f t="shared" si="2"/>
        <v>134.2472222</v>
      </c>
      <c r="O213" s="11">
        <f t="shared" si="3"/>
        <v>0.8453339649</v>
      </c>
    </row>
    <row r="214">
      <c r="A214" s="1" t="s">
        <v>668</v>
      </c>
      <c r="B214" s="1" t="s">
        <v>669</v>
      </c>
      <c r="C214" s="1" t="s">
        <v>670</v>
      </c>
      <c r="D214" s="1">
        <v>160.0</v>
      </c>
      <c r="E214" s="1" t="s">
        <v>88</v>
      </c>
      <c r="F214" s="1">
        <v>3037.0</v>
      </c>
      <c r="G214" s="1">
        <v>2329.0</v>
      </c>
      <c r="H214" s="1">
        <v>1814.0</v>
      </c>
      <c r="I214" s="7">
        <f>IFERROR(__xludf.DUMMYFUNCTION("SPLIT(B214,""T""""Z"")"),41548.0)</f>
        <v>41548</v>
      </c>
      <c r="J214" s="8">
        <f>IFERROR(__xludf.DUMMYFUNCTION("""COMPUTED_VALUE"""),0.1114699074074074)</f>
        <v>0.1114699074</v>
      </c>
      <c r="K214" s="9">
        <f t="shared" si="1"/>
        <v>8</v>
      </c>
      <c r="L214" s="7">
        <f>IFERROR(__xludf.DUMMYFUNCTION("SPLIT(C214,""T""""Z"")"),44798.0)</f>
        <v>44798</v>
      </c>
      <c r="M214" s="8">
        <f>IFERROR(__xludf.DUMMYFUNCTION("""COMPUTED_VALUE"""),0.5829050925925926)</f>
        <v>0.5829050926</v>
      </c>
      <c r="N214" s="10">
        <f t="shared" si="2"/>
        <v>133.9897222</v>
      </c>
      <c r="O214" s="11">
        <f t="shared" si="3"/>
        <v>0.7788750537</v>
      </c>
    </row>
    <row r="215">
      <c r="A215" s="1" t="s">
        <v>671</v>
      </c>
      <c r="B215" s="1" t="s">
        <v>672</v>
      </c>
      <c r="C215" s="1" t="s">
        <v>673</v>
      </c>
      <c r="D215" s="1">
        <v>1.0</v>
      </c>
      <c r="E215" s="1" t="s">
        <v>18</v>
      </c>
      <c r="F215" s="1">
        <v>44157.0</v>
      </c>
      <c r="G215" s="1">
        <v>7763.0</v>
      </c>
      <c r="H215" s="1">
        <v>7143.0</v>
      </c>
      <c r="I215" s="7">
        <f>IFERROR(__xludf.DUMMYFUNCTION("SPLIT(B215,""T""""Z"")"),41187.0)</f>
        <v>41187</v>
      </c>
      <c r="J215" s="8">
        <f>IFERROR(__xludf.DUMMYFUNCTION("""COMPUTED_VALUE"""),0.6942708333333333)</f>
        <v>0.6942708333</v>
      </c>
      <c r="K215" s="9">
        <f t="shared" si="1"/>
        <v>9</v>
      </c>
      <c r="L215" s="7">
        <f>IFERROR(__xludf.DUMMYFUNCTION("SPLIT(C215,""T""""Z"")"),44798.0)</f>
        <v>44798</v>
      </c>
      <c r="M215" s="8">
        <f>IFERROR(__xludf.DUMMYFUNCTION("""COMPUTED_VALUE"""),0.5822106481481482)</f>
        <v>0.5822106481</v>
      </c>
      <c r="N215" s="10">
        <f t="shared" si="2"/>
        <v>133.9730556</v>
      </c>
      <c r="O215" s="11">
        <f t="shared" si="3"/>
        <v>0.9201339688</v>
      </c>
    </row>
    <row r="216">
      <c r="A216" s="1" t="s">
        <v>674</v>
      </c>
      <c r="B216" s="1" t="s">
        <v>675</v>
      </c>
      <c r="C216" s="1" t="s">
        <v>676</v>
      </c>
      <c r="D216" s="1">
        <v>2.0</v>
      </c>
      <c r="E216" s="1" t="s">
        <v>38</v>
      </c>
      <c r="F216" s="1">
        <v>372.0</v>
      </c>
      <c r="G216" s="1">
        <v>0.0</v>
      </c>
      <c r="H216" s="1">
        <v>0.0</v>
      </c>
      <c r="I216" s="7">
        <f>IFERROR(__xludf.DUMMYFUNCTION("SPLIT(B216,""T""""Z"")"),42661.0)</f>
        <v>42661</v>
      </c>
      <c r="J216" s="8">
        <f>IFERROR(__xludf.DUMMYFUNCTION("""COMPUTED_VALUE"""),0.31188657407407405)</f>
        <v>0.3118865741</v>
      </c>
      <c r="K216" s="9">
        <f t="shared" si="1"/>
        <v>5</v>
      </c>
      <c r="L216" s="7">
        <f>IFERROR(__xludf.DUMMYFUNCTION("SPLIT(C216,""T""""Z"")"),44798.0)</f>
        <v>44798</v>
      </c>
      <c r="M216" s="8">
        <f>IFERROR(__xludf.DUMMYFUNCTION("""COMPUTED_VALUE"""),0.6002430555555556)</f>
        <v>0.6002430556</v>
      </c>
      <c r="N216" s="10">
        <f t="shared" si="2"/>
        <v>134.4058333</v>
      </c>
      <c r="O216" s="11">
        <f t="shared" si="3"/>
        <v>0</v>
      </c>
    </row>
    <row r="217">
      <c r="A217" s="1" t="s">
        <v>677</v>
      </c>
      <c r="B217" s="1" t="s">
        <v>678</v>
      </c>
      <c r="C217" s="1" t="s">
        <v>679</v>
      </c>
      <c r="D217" s="1">
        <v>0.0</v>
      </c>
      <c r="E217" s="1" t="s">
        <v>95</v>
      </c>
      <c r="F217" s="1">
        <v>764.0</v>
      </c>
      <c r="G217" s="1">
        <v>2596.0</v>
      </c>
      <c r="H217" s="1">
        <v>2457.0</v>
      </c>
      <c r="I217" s="7">
        <f>IFERROR(__xludf.DUMMYFUNCTION("SPLIT(B217,""T""""Z"")"),40427.0)</f>
        <v>40427</v>
      </c>
      <c r="J217" s="8">
        <f>IFERROR(__xludf.DUMMYFUNCTION("""COMPUTED_VALUE"""),0.9025810185185185)</f>
        <v>0.9025810185</v>
      </c>
      <c r="K217" s="9">
        <f t="shared" si="1"/>
        <v>11</v>
      </c>
      <c r="L217" s="7">
        <f>IFERROR(__xludf.DUMMYFUNCTION("SPLIT(C217,""T""""Z"")"),44798.0)</f>
        <v>44798</v>
      </c>
      <c r="M217" s="8">
        <f>IFERROR(__xludf.DUMMYFUNCTION("""COMPUTED_VALUE"""),0.41001157407407407)</f>
        <v>0.4100115741</v>
      </c>
      <c r="N217" s="10">
        <f t="shared" si="2"/>
        <v>129.8402778</v>
      </c>
      <c r="O217" s="11">
        <f t="shared" si="3"/>
        <v>0.9464560863</v>
      </c>
    </row>
    <row r="218">
      <c r="A218" s="1" t="s">
        <v>680</v>
      </c>
      <c r="B218" s="1" t="s">
        <v>681</v>
      </c>
      <c r="C218" s="1" t="s">
        <v>682</v>
      </c>
      <c r="D218" s="1">
        <v>0.0</v>
      </c>
      <c r="E218" s="1" t="s">
        <v>621</v>
      </c>
      <c r="F218" s="1">
        <v>336.0</v>
      </c>
      <c r="G218" s="1">
        <v>0.0</v>
      </c>
      <c r="H218" s="1">
        <v>0.0</v>
      </c>
      <c r="I218" s="7">
        <f>IFERROR(__xludf.DUMMYFUNCTION("SPLIT(B218,""T""""Z"")"),44258.0)</f>
        <v>44258</v>
      </c>
      <c r="J218" s="8">
        <f>IFERROR(__xludf.DUMMYFUNCTION("""COMPUTED_VALUE"""),0.06533564814814814)</f>
        <v>0.06533564815</v>
      </c>
      <c r="K218" s="9">
        <f t="shared" si="1"/>
        <v>1</v>
      </c>
      <c r="L218" s="7">
        <f>IFERROR(__xludf.DUMMYFUNCTION("SPLIT(C218,""T""""Z"")"),44798.0)</f>
        <v>44798</v>
      </c>
      <c r="M218" s="8">
        <f>IFERROR(__xludf.DUMMYFUNCTION("""COMPUTED_VALUE"""),0.6042361111111111)</f>
        <v>0.6042361111</v>
      </c>
      <c r="N218" s="10">
        <f t="shared" si="2"/>
        <v>134.5016667</v>
      </c>
      <c r="O218" s="11">
        <f t="shared" si="3"/>
        <v>0</v>
      </c>
    </row>
    <row r="219">
      <c r="A219" s="1" t="s">
        <v>683</v>
      </c>
      <c r="B219" s="1" t="s">
        <v>684</v>
      </c>
      <c r="C219" s="1" t="s">
        <v>685</v>
      </c>
      <c r="D219" s="1">
        <v>0.0</v>
      </c>
      <c r="E219" s="1" t="s">
        <v>686</v>
      </c>
      <c r="F219" s="1">
        <v>2163.0</v>
      </c>
      <c r="G219" s="1">
        <v>449.0</v>
      </c>
      <c r="H219" s="1">
        <v>448.0</v>
      </c>
      <c r="I219" s="7">
        <f>IFERROR(__xludf.DUMMYFUNCTION("SPLIT(B219,""T""""Z"")"),41830.0)</f>
        <v>41830</v>
      </c>
      <c r="J219" s="8">
        <f>IFERROR(__xludf.DUMMYFUNCTION("""COMPUTED_VALUE"""),0.6692708333333334)</f>
        <v>0.6692708333</v>
      </c>
      <c r="K219" s="9">
        <f t="shared" si="1"/>
        <v>8</v>
      </c>
      <c r="L219" s="7">
        <f>IFERROR(__xludf.DUMMYFUNCTION("SPLIT(C219,""T""""Z"")"),44798.0)</f>
        <v>44798</v>
      </c>
      <c r="M219" s="8">
        <f>IFERROR(__xludf.DUMMYFUNCTION("""COMPUTED_VALUE"""),0.46247685185185183)</f>
        <v>0.4624768519</v>
      </c>
      <c r="N219" s="10">
        <f t="shared" si="2"/>
        <v>131.0994444</v>
      </c>
      <c r="O219" s="11">
        <f t="shared" si="3"/>
        <v>0.9977728285</v>
      </c>
    </row>
    <row r="220">
      <c r="A220" s="1" t="s">
        <v>687</v>
      </c>
      <c r="B220" s="1" t="s">
        <v>688</v>
      </c>
      <c r="C220" s="1" t="s">
        <v>689</v>
      </c>
      <c r="D220" s="1">
        <v>0.0</v>
      </c>
      <c r="E220" s="13" t="s">
        <v>22</v>
      </c>
      <c r="F220" s="1">
        <v>28.0</v>
      </c>
      <c r="G220" s="1">
        <v>0.0</v>
      </c>
      <c r="H220" s="1">
        <v>0.0</v>
      </c>
      <c r="I220" s="7">
        <f>IFERROR(__xludf.DUMMYFUNCTION("SPLIT(B220,""T""""Z"")"),43096.0)</f>
        <v>43096</v>
      </c>
      <c r="J220" s="8">
        <f>IFERROR(__xludf.DUMMYFUNCTION("""COMPUTED_VALUE"""),0.1574074074074074)</f>
        <v>0.1574074074</v>
      </c>
      <c r="K220" s="9">
        <f t="shared" si="1"/>
        <v>4</v>
      </c>
      <c r="L220" s="7">
        <f>IFERROR(__xludf.DUMMYFUNCTION("SPLIT(C220,""T""""Z"")"),44798.0)</f>
        <v>44798</v>
      </c>
      <c r="M220" s="8">
        <f>IFERROR(__xludf.DUMMYFUNCTION("""COMPUTED_VALUE"""),0.6015277777777778)</f>
        <v>0.6015277778</v>
      </c>
      <c r="N220" s="12">
        <f t="shared" si="2"/>
        <v>134.4366667</v>
      </c>
      <c r="O220" s="11">
        <f t="shared" si="3"/>
        <v>0</v>
      </c>
    </row>
    <row r="221">
      <c r="A221" s="1" t="s">
        <v>690</v>
      </c>
      <c r="B221" s="1" t="s">
        <v>691</v>
      </c>
      <c r="C221" s="1" t="s">
        <v>692</v>
      </c>
      <c r="D221" s="1">
        <v>247.0</v>
      </c>
      <c r="E221" s="1" t="s">
        <v>124</v>
      </c>
      <c r="F221" s="1">
        <v>202.0</v>
      </c>
      <c r="G221" s="1">
        <v>2463.0</v>
      </c>
      <c r="H221" s="1">
        <v>2435.0</v>
      </c>
      <c r="I221" s="7">
        <f>IFERROR(__xludf.DUMMYFUNCTION("SPLIT(B221,""T""""Z"")"),42251.0)</f>
        <v>42251</v>
      </c>
      <c r="J221" s="8">
        <f>IFERROR(__xludf.DUMMYFUNCTION("""COMPUTED_VALUE"""),0.48811342592592594)</f>
        <v>0.4881134259</v>
      </c>
      <c r="K221" s="9">
        <f t="shared" si="1"/>
        <v>6</v>
      </c>
      <c r="L221" s="7">
        <f>IFERROR(__xludf.DUMMYFUNCTION("SPLIT(C221,""T""""Z"")"),44798.0)</f>
        <v>44798</v>
      </c>
      <c r="M221" s="8">
        <f>IFERROR(__xludf.DUMMYFUNCTION("""COMPUTED_VALUE"""),0.5965393518518518)</f>
        <v>0.5965393519</v>
      </c>
      <c r="N221" s="10">
        <f t="shared" si="2"/>
        <v>134.3169444</v>
      </c>
      <c r="O221" s="11">
        <f t="shared" si="3"/>
        <v>0.9886317499</v>
      </c>
    </row>
    <row r="222">
      <c r="A222" s="1" t="s">
        <v>693</v>
      </c>
      <c r="B222" s="1" t="s">
        <v>694</v>
      </c>
      <c r="C222" s="1" t="s">
        <v>695</v>
      </c>
      <c r="D222" s="1">
        <v>125.0</v>
      </c>
      <c r="E222" s="1" t="s">
        <v>696</v>
      </c>
      <c r="F222" s="1">
        <v>19396.0</v>
      </c>
      <c r="G222" s="1">
        <v>21836.0</v>
      </c>
      <c r="H222" s="1">
        <v>18408.0</v>
      </c>
      <c r="I222" s="7">
        <f>IFERROR(__xludf.DUMMYFUNCTION("SPLIT(B222,""T""""Z"")"),40654.0)</f>
        <v>40654</v>
      </c>
      <c r="J222" s="8">
        <f>IFERROR(__xludf.DUMMYFUNCTION("""COMPUTED_VALUE"""),0.2929398148148148)</f>
        <v>0.2929398148</v>
      </c>
      <c r="K222" s="9">
        <f t="shared" si="1"/>
        <v>11</v>
      </c>
      <c r="L222" s="7">
        <f>IFERROR(__xludf.DUMMYFUNCTION("SPLIT(C222,""T""""Z"")"),44798.0)</f>
        <v>44798</v>
      </c>
      <c r="M222" s="8">
        <f>IFERROR(__xludf.DUMMYFUNCTION("""COMPUTED_VALUE"""),0.59125)</f>
        <v>0.59125</v>
      </c>
      <c r="N222" s="10">
        <f t="shared" si="2"/>
        <v>134.19</v>
      </c>
      <c r="O222" s="11">
        <f t="shared" si="3"/>
        <v>0.8430115406</v>
      </c>
    </row>
    <row r="223">
      <c r="A223" s="1" t="s">
        <v>697</v>
      </c>
      <c r="B223" s="1" t="s">
        <v>698</v>
      </c>
      <c r="C223" s="1" t="s">
        <v>699</v>
      </c>
      <c r="D223" s="1">
        <v>278.0</v>
      </c>
      <c r="E223" s="1" t="s">
        <v>48</v>
      </c>
      <c r="F223" s="1">
        <v>4450.0</v>
      </c>
      <c r="G223" s="1">
        <v>11197.0</v>
      </c>
      <c r="H223" s="1">
        <v>8467.0</v>
      </c>
      <c r="I223" s="7">
        <f>IFERROR(__xludf.DUMMYFUNCTION("SPLIT(B223,""T""""Z"")"),42067.0)</f>
        <v>42067</v>
      </c>
      <c r="J223" s="8">
        <f>IFERROR(__xludf.DUMMYFUNCTION("""COMPUTED_VALUE"""),0.032268518518518516)</f>
        <v>0.03226851852</v>
      </c>
      <c r="K223" s="9">
        <f t="shared" si="1"/>
        <v>7</v>
      </c>
      <c r="L223" s="7">
        <f>IFERROR(__xludf.DUMMYFUNCTION("SPLIT(C223,""T""""Z"")"),44798.0)</f>
        <v>44798</v>
      </c>
      <c r="M223" s="8">
        <f>IFERROR(__xludf.DUMMYFUNCTION("""COMPUTED_VALUE"""),0.5912615740740741)</f>
        <v>0.5912615741</v>
      </c>
      <c r="N223" s="10">
        <f t="shared" si="2"/>
        <v>134.1902778</v>
      </c>
      <c r="O223" s="11">
        <f t="shared" si="3"/>
        <v>0.7561846923</v>
      </c>
    </row>
    <row r="224">
      <c r="A224" s="1" t="s">
        <v>700</v>
      </c>
      <c r="B224" s="1" t="s">
        <v>701</v>
      </c>
      <c r="C224" s="1" t="s">
        <v>702</v>
      </c>
      <c r="D224" s="1">
        <v>111.0</v>
      </c>
      <c r="E224" s="1" t="s">
        <v>48</v>
      </c>
      <c r="F224" s="1">
        <v>631.0</v>
      </c>
      <c r="G224" s="1">
        <v>1161.0</v>
      </c>
      <c r="H224" s="1">
        <v>715.0</v>
      </c>
      <c r="I224" s="7">
        <f>IFERROR(__xludf.DUMMYFUNCTION("SPLIT(B224,""T""""Z"")"),43200.0)</f>
        <v>43200</v>
      </c>
      <c r="J224" s="8">
        <f>IFERROR(__xludf.DUMMYFUNCTION("""COMPUTED_VALUE"""),0.3935648148148148)</f>
        <v>0.3935648148</v>
      </c>
      <c r="K224" s="9">
        <f t="shared" si="1"/>
        <v>4</v>
      </c>
      <c r="L224" s="7">
        <f>IFERROR(__xludf.DUMMYFUNCTION("SPLIT(C224,""T""""Z"")"),44798.0)</f>
        <v>44798</v>
      </c>
      <c r="M224" s="8">
        <f>IFERROR(__xludf.DUMMYFUNCTION("""COMPUTED_VALUE"""),0.5862037037037037)</f>
        <v>0.5862037037</v>
      </c>
      <c r="N224" s="10">
        <f t="shared" si="2"/>
        <v>134.0688889</v>
      </c>
      <c r="O224" s="11">
        <f t="shared" si="3"/>
        <v>0.6158484065</v>
      </c>
    </row>
    <row r="225">
      <c r="A225" s="1" t="s">
        <v>703</v>
      </c>
      <c r="B225" s="1" t="s">
        <v>704</v>
      </c>
      <c r="C225" s="1" t="s">
        <v>705</v>
      </c>
      <c r="D225" s="1">
        <v>2.0</v>
      </c>
      <c r="E225" s="1" t="s">
        <v>111</v>
      </c>
      <c r="F225" s="1">
        <v>6544.0</v>
      </c>
      <c r="G225" s="1">
        <v>951.0</v>
      </c>
      <c r="H225" s="1">
        <v>798.0</v>
      </c>
      <c r="I225" s="7">
        <f>IFERROR(__xludf.DUMMYFUNCTION("SPLIT(B225,""T""""Z"")"),41616.0)</f>
        <v>41616</v>
      </c>
      <c r="J225" s="8">
        <f>IFERROR(__xludf.DUMMYFUNCTION("""COMPUTED_VALUE"""),0.31577546296296294)</f>
        <v>0.315775463</v>
      </c>
      <c r="K225" s="9">
        <f t="shared" si="1"/>
        <v>8</v>
      </c>
      <c r="L225" s="7">
        <f>IFERROR(__xludf.DUMMYFUNCTION("SPLIT(C225,""T""""Z"")"),44798.0)</f>
        <v>44798</v>
      </c>
      <c r="M225" s="8">
        <f>IFERROR(__xludf.DUMMYFUNCTION("""COMPUTED_VALUE"""),0.6041435185185186)</f>
        <v>0.6041435185</v>
      </c>
      <c r="N225" s="10">
        <f t="shared" si="2"/>
        <v>134.4994444</v>
      </c>
      <c r="O225" s="11">
        <f t="shared" si="3"/>
        <v>0.8391167192</v>
      </c>
    </row>
    <row r="226">
      <c r="A226" s="1" t="s">
        <v>706</v>
      </c>
      <c r="B226" s="1" t="s">
        <v>707</v>
      </c>
      <c r="C226" s="1" t="s">
        <v>708</v>
      </c>
      <c r="D226" s="1">
        <v>174.0</v>
      </c>
      <c r="E226" s="1" t="s">
        <v>18</v>
      </c>
      <c r="F226" s="1">
        <v>4745.0</v>
      </c>
      <c r="G226" s="1">
        <v>6992.0</v>
      </c>
      <c r="H226" s="1">
        <v>6054.0</v>
      </c>
      <c r="I226" s="7">
        <f>IFERROR(__xludf.DUMMYFUNCTION("SPLIT(B226,""T""""Z"")"),41618.0)</f>
        <v>41618</v>
      </c>
      <c r="J226" s="8">
        <f>IFERROR(__xludf.DUMMYFUNCTION("""COMPUTED_VALUE"""),0.012546296296296297)</f>
        <v>0.0125462963</v>
      </c>
      <c r="K226" s="9">
        <f t="shared" si="1"/>
        <v>8</v>
      </c>
      <c r="L226" s="7">
        <f>IFERROR(__xludf.DUMMYFUNCTION("SPLIT(C226,""T""""Z"")"),44798.0)</f>
        <v>44798</v>
      </c>
      <c r="M226" s="8">
        <f>IFERROR(__xludf.DUMMYFUNCTION("""COMPUTED_VALUE"""),0.5888194444444445)</f>
        <v>0.5888194444</v>
      </c>
      <c r="N226" s="10">
        <f t="shared" si="2"/>
        <v>134.1316667</v>
      </c>
      <c r="O226" s="11">
        <f t="shared" si="3"/>
        <v>0.8658466819</v>
      </c>
    </row>
    <row r="227">
      <c r="A227" s="1" t="s">
        <v>709</v>
      </c>
      <c r="B227" s="1" t="s">
        <v>710</v>
      </c>
      <c r="C227" s="1" t="s">
        <v>711</v>
      </c>
      <c r="D227" s="1">
        <v>43.0</v>
      </c>
      <c r="E227" s="1" t="s">
        <v>48</v>
      </c>
      <c r="F227" s="1">
        <v>5838.0</v>
      </c>
      <c r="G227" s="1">
        <v>8444.0</v>
      </c>
      <c r="H227" s="1">
        <v>8085.0</v>
      </c>
      <c r="I227" s="7">
        <f>IFERROR(__xludf.DUMMYFUNCTION("SPLIT(B227,""T""""Z"")"),40659.0)</f>
        <v>40659</v>
      </c>
      <c r="J227" s="8">
        <f>IFERROR(__xludf.DUMMYFUNCTION("""COMPUTED_VALUE"""),0.2722569444444444)</f>
        <v>0.2722569444</v>
      </c>
      <c r="K227" s="9">
        <f t="shared" si="1"/>
        <v>11</v>
      </c>
      <c r="L227" s="7">
        <f>IFERROR(__xludf.DUMMYFUNCTION("SPLIT(C227,""T""""Z"")"),44798.0)</f>
        <v>44798</v>
      </c>
      <c r="M227" s="8">
        <f>IFERROR(__xludf.DUMMYFUNCTION("""COMPUTED_VALUE"""),0.5765625)</f>
        <v>0.5765625</v>
      </c>
      <c r="N227" s="10">
        <f t="shared" si="2"/>
        <v>133.8375</v>
      </c>
      <c r="O227" s="11">
        <f t="shared" si="3"/>
        <v>0.9574846045</v>
      </c>
    </row>
    <row r="228">
      <c r="A228" s="1" t="s">
        <v>712</v>
      </c>
      <c r="B228" s="1" t="s">
        <v>713</v>
      </c>
      <c r="C228" s="1" t="s">
        <v>714</v>
      </c>
      <c r="D228" s="1">
        <v>0.0</v>
      </c>
      <c r="E228" s="13" t="s">
        <v>22</v>
      </c>
      <c r="F228" s="1">
        <v>19.0</v>
      </c>
      <c r="G228" s="1">
        <v>70.0</v>
      </c>
      <c r="H228" s="1">
        <v>32.0</v>
      </c>
      <c r="I228" s="7">
        <f>IFERROR(__xludf.DUMMYFUNCTION("SPLIT(B228,""T""""Z"")"),41459.0)</f>
        <v>41459</v>
      </c>
      <c r="J228" s="8">
        <f>IFERROR(__xludf.DUMMYFUNCTION("""COMPUTED_VALUE"""),0.5676736111111111)</f>
        <v>0.5676736111</v>
      </c>
      <c r="K228" s="9">
        <f t="shared" si="1"/>
        <v>9</v>
      </c>
      <c r="L228" s="7">
        <f>IFERROR(__xludf.DUMMYFUNCTION("SPLIT(C228,""T""""Z"")"),44798.0)</f>
        <v>44798</v>
      </c>
      <c r="M228" s="8">
        <f>IFERROR(__xludf.DUMMYFUNCTION("""COMPUTED_VALUE"""),0.5527546296296296)</f>
        <v>0.5527546296</v>
      </c>
      <c r="N228" s="12">
        <f t="shared" si="2"/>
        <v>133.2661111</v>
      </c>
      <c r="O228" s="11">
        <f t="shared" si="3"/>
        <v>0.4571428571</v>
      </c>
    </row>
    <row r="229">
      <c r="A229" s="1" t="s">
        <v>715</v>
      </c>
      <c r="B229" s="1" t="s">
        <v>716</v>
      </c>
      <c r="C229" s="1" t="s">
        <v>717</v>
      </c>
      <c r="D229" s="1">
        <v>0.0</v>
      </c>
      <c r="E229" s="13" t="s">
        <v>22</v>
      </c>
      <c r="F229" s="1">
        <v>495.0</v>
      </c>
      <c r="G229" s="1">
        <v>517.0</v>
      </c>
      <c r="H229" s="1">
        <v>167.0</v>
      </c>
      <c r="I229" s="7">
        <f>IFERROR(__xludf.DUMMYFUNCTION("SPLIT(B229,""T""""Z"")"),41837.0)</f>
        <v>41837</v>
      </c>
      <c r="J229" s="8">
        <f>IFERROR(__xludf.DUMMYFUNCTION("""COMPUTED_VALUE"""),0.36887731481481484)</f>
        <v>0.3688773148</v>
      </c>
      <c r="K229" s="9">
        <f t="shared" si="1"/>
        <v>8</v>
      </c>
      <c r="L229" s="7">
        <f>IFERROR(__xludf.DUMMYFUNCTION("SPLIT(C229,""T""""Z"")"),44798.0)</f>
        <v>44798</v>
      </c>
      <c r="M229" s="8">
        <f>IFERROR(__xludf.DUMMYFUNCTION("""COMPUTED_VALUE"""),0.6053125)</f>
        <v>0.6053125</v>
      </c>
      <c r="N229" s="12">
        <f t="shared" si="2"/>
        <v>134.5275</v>
      </c>
      <c r="O229" s="11">
        <f t="shared" si="3"/>
        <v>0.3230174081</v>
      </c>
    </row>
    <row r="230">
      <c r="A230" s="1" t="s">
        <v>718</v>
      </c>
      <c r="B230" s="1" t="s">
        <v>719</v>
      </c>
      <c r="C230" s="1" t="s">
        <v>720</v>
      </c>
      <c r="D230" s="1">
        <v>371.0</v>
      </c>
      <c r="E230" s="1" t="s">
        <v>124</v>
      </c>
      <c r="F230" s="1">
        <v>3518.0</v>
      </c>
      <c r="G230" s="1">
        <v>5076.0</v>
      </c>
      <c r="H230" s="1">
        <v>4474.0</v>
      </c>
      <c r="I230" s="7">
        <f>IFERROR(__xludf.DUMMYFUNCTION("SPLIT(B230,""T""""Z"")"),42260.0)</f>
        <v>42260</v>
      </c>
      <c r="J230" s="8">
        <f>IFERROR(__xludf.DUMMYFUNCTION("""COMPUTED_VALUE"""),0.7944675925925926)</f>
        <v>0.7944675926</v>
      </c>
      <c r="K230" s="9">
        <f t="shared" si="1"/>
        <v>6</v>
      </c>
      <c r="L230" s="7">
        <f>IFERROR(__xludf.DUMMYFUNCTION("SPLIT(C230,""T""""Z"")"),44798.0)</f>
        <v>44798</v>
      </c>
      <c r="M230" s="8">
        <f>IFERROR(__xludf.DUMMYFUNCTION("""COMPUTED_VALUE"""),0.5989699074074074)</f>
        <v>0.5989699074</v>
      </c>
      <c r="N230" s="10">
        <f t="shared" si="2"/>
        <v>134.3752778</v>
      </c>
      <c r="O230" s="11">
        <f t="shared" si="3"/>
        <v>0.8814026793</v>
      </c>
    </row>
    <row r="231">
      <c r="A231" s="1" t="s">
        <v>721</v>
      </c>
      <c r="B231" s="1" t="s">
        <v>722</v>
      </c>
      <c r="C231" s="1" t="s">
        <v>723</v>
      </c>
      <c r="D231" s="1">
        <v>140.0</v>
      </c>
      <c r="E231" s="1" t="s">
        <v>38</v>
      </c>
      <c r="F231" s="1">
        <v>606.0</v>
      </c>
      <c r="G231" s="1">
        <v>886.0</v>
      </c>
      <c r="H231" s="1">
        <v>816.0</v>
      </c>
      <c r="I231" s="7">
        <f>IFERROR(__xludf.DUMMYFUNCTION("SPLIT(B231,""T""""Z"")"),43779.0)</f>
        <v>43779</v>
      </c>
      <c r="J231" s="8">
        <f>IFERROR(__xludf.DUMMYFUNCTION("""COMPUTED_VALUE"""),0.6445486111111111)</f>
        <v>0.6445486111</v>
      </c>
      <c r="K231" s="9">
        <f t="shared" si="1"/>
        <v>2</v>
      </c>
      <c r="L231" s="7">
        <f>IFERROR(__xludf.DUMMYFUNCTION("SPLIT(C231,""T""""Z"")"),44798.0)</f>
        <v>44798</v>
      </c>
      <c r="M231" s="8">
        <f>IFERROR(__xludf.DUMMYFUNCTION("""COMPUTED_VALUE"""),0.5155324074074074)</f>
        <v>0.5155324074</v>
      </c>
      <c r="N231" s="10">
        <f t="shared" si="2"/>
        <v>132.3727778</v>
      </c>
      <c r="O231" s="11">
        <f t="shared" si="3"/>
        <v>0.920993228</v>
      </c>
    </row>
    <row r="232">
      <c r="A232" s="1" t="s">
        <v>724</v>
      </c>
      <c r="B232" s="1" t="s">
        <v>725</v>
      </c>
      <c r="C232" s="1" t="s">
        <v>726</v>
      </c>
      <c r="D232" s="1">
        <v>0.0</v>
      </c>
      <c r="E232" s="13" t="s">
        <v>22</v>
      </c>
      <c r="F232" s="1">
        <v>208.0</v>
      </c>
      <c r="G232" s="1">
        <v>66.0</v>
      </c>
      <c r="H232" s="1">
        <v>52.0</v>
      </c>
      <c r="I232" s="7">
        <f>IFERROR(__xludf.DUMMYFUNCTION("SPLIT(B232,""T""""Z"")"),41842.0)</f>
        <v>41842</v>
      </c>
      <c r="J232" s="8">
        <f>IFERROR(__xludf.DUMMYFUNCTION("""COMPUTED_VALUE"""),0.8577430555555555)</f>
        <v>0.8577430556</v>
      </c>
      <c r="K232" s="9">
        <f t="shared" si="1"/>
        <v>8</v>
      </c>
      <c r="L232" s="7">
        <f>IFERROR(__xludf.DUMMYFUNCTION("SPLIT(C232,""T""""Z"")"),44798.0)</f>
        <v>44798</v>
      </c>
      <c r="M232" s="8">
        <f>IFERROR(__xludf.DUMMYFUNCTION("""COMPUTED_VALUE"""),0.5526620370370371)</f>
        <v>0.552662037</v>
      </c>
      <c r="N232" s="12">
        <f t="shared" si="2"/>
        <v>133.2638889</v>
      </c>
      <c r="O232" s="11">
        <f t="shared" si="3"/>
        <v>0.7878787879</v>
      </c>
    </row>
    <row r="233">
      <c r="A233" s="1" t="s">
        <v>727</v>
      </c>
      <c r="B233" s="1" t="s">
        <v>728</v>
      </c>
      <c r="C233" s="1" t="s">
        <v>729</v>
      </c>
      <c r="D233" s="1">
        <v>0.0</v>
      </c>
      <c r="E233" s="1" t="s">
        <v>48</v>
      </c>
      <c r="F233" s="1">
        <v>568.0</v>
      </c>
      <c r="G233" s="1">
        <v>7101.0</v>
      </c>
      <c r="H233" s="1">
        <v>6202.0</v>
      </c>
      <c r="I233" s="7">
        <f>IFERROR(__xludf.DUMMYFUNCTION("SPLIT(B233,""T""""Z"")"),40912.0)</f>
        <v>40912</v>
      </c>
      <c r="J233" s="8">
        <f>IFERROR(__xludf.DUMMYFUNCTION("""COMPUTED_VALUE"""),0.26469907407407406)</f>
        <v>0.2646990741</v>
      </c>
      <c r="K233" s="9">
        <f t="shared" si="1"/>
        <v>10</v>
      </c>
      <c r="L233" s="7">
        <f>IFERROR(__xludf.DUMMYFUNCTION("SPLIT(C233,""T""""Z"")"),44798.0)</f>
        <v>44798</v>
      </c>
      <c r="M233" s="8">
        <f>IFERROR(__xludf.DUMMYFUNCTION("""COMPUTED_VALUE"""),0.40064814814814814)</f>
        <v>0.4006481481</v>
      </c>
      <c r="N233" s="10">
        <f t="shared" si="2"/>
        <v>129.6155556</v>
      </c>
      <c r="O233" s="11">
        <f t="shared" si="3"/>
        <v>0.8733981129</v>
      </c>
    </row>
    <row r="234">
      <c r="A234" s="1" t="s">
        <v>730</v>
      </c>
      <c r="B234" s="1" t="s">
        <v>731</v>
      </c>
      <c r="C234" s="1" t="s">
        <v>732</v>
      </c>
      <c r="D234" s="1">
        <v>81.0</v>
      </c>
      <c r="E234" s="1" t="s">
        <v>18</v>
      </c>
      <c r="F234" s="1">
        <v>2520.0</v>
      </c>
      <c r="G234" s="1">
        <v>3554.0</v>
      </c>
      <c r="H234" s="1">
        <v>2753.0</v>
      </c>
      <c r="I234" s="7">
        <f>IFERROR(__xludf.DUMMYFUNCTION("SPLIT(B234,""T""""Z"")"),42552.0)</f>
        <v>42552</v>
      </c>
      <c r="J234" s="8">
        <f>IFERROR(__xludf.DUMMYFUNCTION("""COMPUTED_VALUE"""),0.2509375)</f>
        <v>0.2509375</v>
      </c>
      <c r="K234" s="9">
        <f t="shared" si="1"/>
        <v>6</v>
      </c>
      <c r="L234" s="7">
        <f>IFERROR(__xludf.DUMMYFUNCTION("SPLIT(C234,""T""""Z"")"),44798.0)</f>
        <v>44798</v>
      </c>
      <c r="M234" s="8">
        <f>IFERROR(__xludf.DUMMYFUNCTION("""COMPUTED_VALUE"""),0.5169907407407407)</f>
        <v>0.5169907407</v>
      </c>
      <c r="N234" s="10">
        <f t="shared" si="2"/>
        <v>132.4077778</v>
      </c>
      <c r="O234" s="11">
        <f t="shared" si="3"/>
        <v>0.7746201463</v>
      </c>
    </row>
    <row r="235">
      <c r="A235" s="1" t="s">
        <v>733</v>
      </c>
      <c r="B235" s="1" t="s">
        <v>734</v>
      </c>
      <c r="C235" s="1" t="s">
        <v>735</v>
      </c>
      <c r="D235" s="1">
        <v>162.0</v>
      </c>
      <c r="E235" s="1" t="s">
        <v>124</v>
      </c>
      <c r="F235" s="1">
        <v>5579.0</v>
      </c>
      <c r="G235" s="1">
        <v>6601.0</v>
      </c>
      <c r="H235" s="1">
        <v>6345.0</v>
      </c>
      <c r="I235" s="7">
        <f>IFERROR(__xludf.DUMMYFUNCTION("SPLIT(B235,""T""""Z"")"),41634.0)</f>
        <v>41634</v>
      </c>
      <c r="J235" s="8">
        <f>IFERROR(__xludf.DUMMYFUNCTION("""COMPUTED_VALUE"""),0.5456712962962963)</f>
        <v>0.5456712963</v>
      </c>
      <c r="K235" s="9">
        <f t="shared" si="1"/>
        <v>8</v>
      </c>
      <c r="L235" s="7">
        <f>IFERROR(__xludf.DUMMYFUNCTION("SPLIT(C235,""T""""Z"")"),44798.0)</f>
        <v>44798</v>
      </c>
      <c r="M235" s="8">
        <f>IFERROR(__xludf.DUMMYFUNCTION("""COMPUTED_VALUE"""),0.601087962962963)</f>
        <v>0.601087963</v>
      </c>
      <c r="N235" s="10">
        <f t="shared" si="2"/>
        <v>134.4261111</v>
      </c>
      <c r="O235" s="11">
        <f t="shared" si="3"/>
        <v>0.9612179973</v>
      </c>
    </row>
    <row r="236">
      <c r="A236" s="1" t="s">
        <v>736</v>
      </c>
      <c r="B236" s="1" t="s">
        <v>737</v>
      </c>
      <c r="C236" s="1" t="s">
        <v>738</v>
      </c>
      <c r="D236" s="1">
        <v>3.0</v>
      </c>
      <c r="E236" s="1" t="s">
        <v>52</v>
      </c>
      <c r="F236" s="1">
        <v>572.0</v>
      </c>
      <c r="G236" s="1">
        <v>2163.0</v>
      </c>
      <c r="H236" s="1">
        <v>1663.0</v>
      </c>
      <c r="I236" s="7">
        <f>IFERROR(__xludf.DUMMYFUNCTION("SPLIT(B236,""T""""Z"")"),42105.0)</f>
        <v>42105</v>
      </c>
      <c r="J236" s="8">
        <f>IFERROR(__xludf.DUMMYFUNCTION("""COMPUTED_VALUE"""),0.8669328703703704)</f>
        <v>0.8669328704</v>
      </c>
      <c r="K236" s="9">
        <f t="shared" si="1"/>
        <v>7</v>
      </c>
      <c r="L236" s="7">
        <f>IFERROR(__xludf.DUMMYFUNCTION("SPLIT(C236,""T""""Z"")"),44798.0)</f>
        <v>44798</v>
      </c>
      <c r="M236" s="8">
        <f>IFERROR(__xludf.DUMMYFUNCTION("""COMPUTED_VALUE"""),0.15493055555555554)</f>
        <v>0.1549305556</v>
      </c>
      <c r="N236" s="10">
        <f t="shared" si="2"/>
        <v>123.7183333</v>
      </c>
      <c r="O236" s="11">
        <f t="shared" si="3"/>
        <v>0.7688395747</v>
      </c>
    </row>
    <row r="237">
      <c r="A237" s="1" t="s">
        <v>739</v>
      </c>
      <c r="B237" s="1" t="s">
        <v>740</v>
      </c>
      <c r="C237" s="1" t="s">
        <v>741</v>
      </c>
      <c r="D237" s="1">
        <v>0.0</v>
      </c>
      <c r="E237" s="1" t="s">
        <v>186</v>
      </c>
      <c r="F237" s="1">
        <v>20.0</v>
      </c>
      <c r="G237" s="1">
        <v>599.0</v>
      </c>
      <c r="H237" s="1">
        <v>502.0</v>
      </c>
      <c r="I237" s="7">
        <f>IFERROR(__xludf.DUMMYFUNCTION("SPLIT(B237,""T""""Z"")"),42727.0)</f>
        <v>42727</v>
      </c>
      <c r="J237" s="8">
        <f>IFERROR(__xludf.DUMMYFUNCTION("""COMPUTED_VALUE"""),0.07592592592592592)</f>
        <v>0.07592592593</v>
      </c>
      <c r="K237" s="9">
        <f t="shared" si="1"/>
        <v>5</v>
      </c>
      <c r="L237" s="7">
        <f>IFERROR(__xludf.DUMMYFUNCTION("SPLIT(C237,""T""""Z"")"),44798.0)</f>
        <v>44798</v>
      </c>
      <c r="M237" s="8">
        <f>IFERROR(__xludf.DUMMYFUNCTION("""COMPUTED_VALUE"""),0.391712962962963)</f>
        <v>0.391712963</v>
      </c>
      <c r="N237" s="10">
        <f t="shared" si="2"/>
        <v>129.4011111</v>
      </c>
      <c r="O237" s="11">
        <f t="shared" si="3"/>
        <v>0.8380634391</v>
      </c>
    </row>
    <row r="238">
      <c r="A238" s="1" t="s">
        <v>742</v>
      </c>
      <c r="B238" s="1" t="s">
        <v>743</v>
      </c>
      <c r="C238" s="1" t="s">
        <v>744</v>
      </c>
      <c r="D238" s="1">
        <v>0.0</v>
      </c>
      <c r="E238" s="1" t="s">
        <v>48</v>
      </c>
      <c r="F238" s="1">
        <v>182.0</v>
      </c>
      <c r="G238" s="1">
        <v>91.0</v>
      </c>
      <c r="H238" s="1">
        <v>72.0</v>
      </c>
      <c r="I238" s="7">
        <f>IFERROR(__xludf.DUMMYFUNCTION("SPLIT(B238,""T""""Z"")"),42505.0)</f>
        <v>42505</v>
      </c>
      <c r="J238" s="8">
        <f>IFERROR(__xludf.DUMMYFUNCTION("""COMPUTED_VALUE"""),0.019270833333333334)</f>
        <v>0.01927083333</v>
      </c>
      <c r="K238" s="9">
        <f t="shared" si="1"/>
        <v>6</v>
      </c>
      <c r="L238" s="7">
        <f>IFERROR(__xludf.DUMMYFUNCTION("SPLIT(C238,""T""""Z"")"),44798.0)</f>
        <v>44798</v>
      </c>
      <c r="M238" s="8">
        <f>IFERROR(__xludf.DUMMYFUNCTION("""COMPUTED_VALUE"""),0.5615509259259259)</f>
        <v>0.5615509259</v>
      </c>
      <c r="N238" s="10">
        <f t="shared" si="2"/>
        <v>133.4772222</v>
      </c>
      <c r="O238" s="11">
        <f t="shared" si="3"/>
        <v>0.7912087912</v>
      </c>
    </row>
    <row r="239">
      <c r="A239" s="1" t="s">
        <v>745</v>
      </c>
      <c r="B239" s="1" t="s">
        <v>746</v>
      </c>
      <c r="C239" s="1" t="s">
        <v>747</v>
      </c>
      <c r="D239" s="1">
        <v>41.0</v>
      </c>
      <c r="E239" s="1" t="s">
        <v>48</v>
      </c>
      <c r="F239" s="1">
        <v>449.0</v>
      </c>
      <c r="G239" s="1">
        <v>5207.0</v>
      </c>
      <c r="H239" s="1">
        <v>4584.0</v>
      </c>
      <c r="I239" s="7">
        <f>IFERROR(__xludf.DUMMYFUNCTION("SPLIT(B239,""T""""Z"")"),41894.0)</f>
        <v>41894</v>
      </c>
      <c r="J239" s="8">
        <f>IFERROR(__xludf.DUMMYFUNCTION("""COMPUTED_VALUE"""),0.816412037037037)</f>
        <v>0.816412037</v>
      </c>
      <c r="K239" s="9">
        <f t="shared" si="1"/>
        <v>7</v>
      </c>
      <c r="L239" s="7">
        <f>IFERROR(__xludf.DUMMYFUNCTION("SPLIT(C239,""T""""Z"")"),44798.0)</f>
        <v>44798</v>
      </c>
      <c r="M239" s="8">
        <f>IFERROR(__xludf.DUMMYFUNCTION("""COMPUTED_VALUE"""),0.5581597222222222)</f>
        <v>0.5581597222</v>
      </c>
      <c r="N239" s="10">
        <f t="shared" si="2"/>
        <v>133.3958333</v>
      </c>
      <c r="O239" s="11">
        <f t="shared" si="3"/>
        <v>0.8803533705</v>
      </c>
    </row>
    <row r="240">
      <c r="A240" s="1" t="s">
        <v>748</v>
      </c>
      <c r="B240" s="1" t="s">
        <v>749</v>
      </c>
      <c r="C240" s="1" t="s">
        <v>750</v>
      </c>
      <c r="D240" s="1">
        <v>0.0</v>
      </c>
      <c r="E240" s="13" t="s">
        <v>22</v>
      </c>
      <c r="F240" s="1">
        <v>269.0</v>
      </c>
      <c r="G240" s="1">
        <v>0.0</v>
      </c>
      <c r="H240" s="1">
        <v>0.0</v>
      </c>
      <c r="I240" s="7">
        <f>IFERROR(__xludf.DUMMYFUNCTION("SPLIT(B240,""T""""Z"")"),42635.0)</f>
        <v>42635</v>
      </c>
      <c r="J240" s="8">
        <f>IFERROR(__xludf.DUMMYFUNCTION("""COMPUTED_VALUE"""),0.8366666666666667)</f>
        <v>0.8366666667</v>
      </c>
      <c r="K240" s="9">
        <f t="shared" si="1"/>
        <v>5</v>
      </c>
      <c r="L240" s="7">
        <f>IFERROR(__xludf.DUMMYFUNCTION("SPLIT(C240,""T""""Z"")"),44798.0)</f>
        <v>44798</v>
      </c>
      <c r="M240" s="8">
        <f>IFERROR(__xludf.DUMMYFUNCTION("""COMPUTED_VALUE"""),0.5194444444444445)</f>
        <v>0.5194444444</v>
      </c>
      <c r="N240" s="12">
        <f t="shared" si="2"/>
        <v>132.4666667</v>
      </c>
      <c r="O240" s="11">
        <f t="shared" si="3"/>
        <v>0</v>
      </c>
    </row>
    <row r="241">
      <c r="A241" s="1" t="s">
        <v>751</v>
      </c>
      <c r="B241" s="1" t="s">
        <v>752</v>
      </c>
      <c r="C241" s="1" t="s">
        <v>753</v>
      </c>
      <c r="D241" s="1">
        <v>77.0</v>
      </c>
      <c r="E241" s="1" t="s">
        <v>88</v>
      </c>
      <c r="F241" s="1">
        <v>131.0</v>
      </c>
      <c r="G241" s="1">
        <v>1417.0</v>
      </c>
      <c r="H241" s="1">
        <v>1104.0</v>
      </c>
      <c r="I241" s="7">
        <f>IFERROR(__xludf.DUMMYFUNCTION("SPLIT(B241,""T""""Z"")"),43900.0)</f>
        <v>43900</v>
      </c>
      <c r="J241" s="8">
        <f>IFERROR(__xludf.DUMMYFUNCTION("""COMPUTED_VALUE"""),0.6384143518518518)</f>
        <v>0.6384143519</v>
      </c>
      <c r="K241" s="9">
        <f t="shared" si="1"/>
        <v>2</v>
      </c>
      <c r="L241" s="7">
        <f>IFERROR(__xludf.DUMMYFUNCTION("SPLIT(C241,""T""""Z"")"),44798.0)</f>
        <v>44798</v>
      </c>
      <c r="M241" s="8">
        <f>IFERROR(__xludf.DUMMYFUNCTION("""COMPUTED_VALUE"""),0.5348032407407407)</f>
        <v>0.5348032407</v>
      </c>
      <c r="N241" s="10">
        <f t="shared" si="2"/>
        <v>132.8352778</v>
      </c>
      <c r="O241" s="11">
        <f t="shared" si="3"/>
        <v>0.7791107975</v>
      </c>
    </row>
    <row r="242">
      <c r="A242" s="1" t="s">
        <v>754</v>
      </c>
      <c r="B242" s="1" t="s">
        <v>755</v>
      </c>
      <c r="C242" s="1" t="s">
        <v>756</v>
      </c>
      <c r="D242" s="1">
        <v>82.0</v>
      </c>
      <c r="E242" s="1" t="s">
        <v>68</v>
      </c>
      <c r="F242" s="1">
        <v>1472.0</v>
      </c>
      <c r="G242" s="1">
        <v>2551.0</v>
      </c>
      <c r="H242" s="1">
        <v>2521.0</v>
      </c>
      <c r="I242" s="7">
        <f>IFERROR(__xludf.DUMMYFUNCTION("SPLIT(B242,""T""""Z"")"),41798.0)</f>
        <v>41798</v>
      </c>
      <c r="J242" s="8">
        <f>IFERROR(__xludf.DUMMYFUNCTION("""COMPUTED_VALUE"""),0.6270254629629629)</f>
        <v>0.627025463</v>
      </c>
      <c r="K242" s="9">
        <f t="shared" si="1"/>
        <v>8</v>
      </c>
      <c r="L242" s="7">
        <f>IFERROR(__xludf.DUMMYFUNCTION("SPLIT(C242,""T""""Z"")"),44798.0)</f>
        <v>44798</v>
      </c>
      <c r="M242" s="8">
        <f>IFERROR(__xludf.DUMMYFUNCTION("""COMPUTED_VALUE"""),0.6092013888888889)</f>
        <v>0.6092013889</v>
      </c>
      <c r="N242" s="10">
        <f t="shared" si="2"/>
        <v>134.6208333</v>
      </c>
      <c r="O242" s="11">
        <f t="shared" si="3"/>
        <v>0.9882399059</v>
      </c>
    </row>
    <row r="243">
      <c r="A243" s="1" t="s">
        <v>757</v>
      </c>
      <c r="B243" s="1" t="s">
        <v>758</v>
      </c>
      <c r="C243" s="1" t="s">
        <v>759</v>
      </c>
      <c r="D243" s="1">
        <v>0.0</v>
      </c>
      <c r="E243" s="13" t="s">
        <v>22</v>
      </c>
      <c r="F243" s="1">
        <v>6.0</v>
      </c>
      <c r="G243" s="1">
        <v>0.0</v>
      </c>
      <c r="H243" s="1">
        <v>0.0</v>
      </c>
      <c r="I243" s="7">
        <f>IFERROR(__xludf.DUMMYFUNCTION("SPLIT(B243,""T""""Z"")"),43286.0)</f>
        <v>43286</v>
      </c>
      <c r="J243" s="8">
        <f>IFERROR(__xludf.DUMMYFUNCTION("""COMPUTED_VALUE"""),0.3831365740740741)</f>
        <v>0.3831365741</v>
      </c>
      <c r="K243" s="9">
        <f t="shared" si="1"/>
        <v>4</v>
      </c>
      <c r="L243" s="7">
        <f>IFERROR(__xludf.DUMMYFUNCTION("SPLIT(C243,""T""""Z"")"),44798.0)</f>
        <v>44798</v>
      </c>
      <c r="M243" s="8">
        <f>IFERROR(__xludf.DUMMYFUNCTION("""COMPUTED_VALUE"""),0.49126157407407406)</f>
        <v>0.4912615741</v>
      </c>
      <c r="N243" s="12">
        <f t="shared" si="2"/>
        <v>131.7902778</v>
      </c>
      <c r="O243" s="11">
        <f t="shared" si="3"/>
        <v>0</v>
      </c>
    </row>
    <row r="244">
      <c r="A244" s="1" t="s">
        <v>760</v>
      </c>
      <c r="B244" s="1" t="s">
        <v>761</v>
      </c>
      <c r="C244" s="1" t="s">
        <v>762</v>
      </c>
      <c r="D244" s="1">
        <v>91.0</v>
      </c>
      <c r="E244" s="1" t="s">
        <v>686</v>
      </c>
      <c r="F244" s="1">
        <v>557.0</v>
      </c>
      <c r="G244" s="1">
        <v>2641.0</v>
      </c>
      <c r="H244" s="1">
        <v>2610.0</v>
      </c>
      <c r="I244" s="7">
        <f>IFERROR(__xludf.DUMMYFUNCTION("SPLIT(B244,""T""""Z"")"),41851.0)</f>
        <v>41851</v>
      </c>
      <c r="J244" s="8">
        <f>IFERROR(__xludf.DUMMYFUNCTION("""COMPUTED_VALUE"""),0.24744212962962964)</f>
        <v>0.2474421296</v>
      </c>
      <c r="K244" s="9">
        <f t="shared" si="1"/>
        <v>8</v>
      </c>
      <c r="L244" s="7">
        <f>IFERROR(__xludf.DUMMYFUNCTION("SPLIT(C244,""T""""Z"")"),44798.0)</f>
        <v>44798</v>
      </c>
      <c r="M244" s="8">
        <f>IFERROR(__xludf.DUMMYFUNCTION("""COMPUTED_VALUE"""),0.5842824074074074)</f>
        <v>0.5842824074</v>
      </c>
      <c r="N244" s="10">
        <f t="shared" si="2"/>
        <v>134.0227778</v>
      </c>
      <c r="O244" s="11">
        <f t="shared" si="3"/>
        <v>0.988262022</v>
      </c>
    </row>
    <row r="245">
      <c r="A245" s="1" t="s">
        <v>763</v>
      </c>
      <c r="B245" s="1" t="s">
        <v>764</v>
      </c>
      <c r="C245" s="1" t="s">
        <v>765</v>
      </c>
      <c r="D245" s="1">
        <v>19.0</v>
      </c>
      <c r="E245" s="1" t="s">
        <v>18</v>
      </c>
      <c r="F245" s="1">
        <v>2623.0</v>
      </c>
      <c r="G245" s="1">
        <v>1409.0</v>
      </c>
      <c r="H245" s="1">
        <v>1197.0</v>
      </c>
      <c r="I245" s="7">
        <f>IFERROR(__xludf.DUMMYFUNCTION("SPLIT(B245,""T""""Z"")"),43750.0)</f>
        <v>43750</v>
      </c>
      <c r="J245" s="8">
        <f>IFERROR(__xludf.DUMMYFUNCTION("""COMPUTED_VALUE"""),0.24778935185185186)</f>
        <v>0.2477893519</v>
      </c>
      <c r="K245" s="9">
        <f t="shared" si="1"/>
        <v>2</v>
      </c>
      <c r="L245" s="7">
        <f>IFERROR(__xludf.DUMMYFUNCTION("SPLIT(C245,""T""""Z"")"),44798.0)</f>
        <v>44798</v>
      </c>
      <c r="M245" s="8">
        <f>IFERROR(__xludf.DUMMYFUNCTION("""COMPUTED_VALUE"""),0.6018518518518519)</f>
        <v>0.6018518519</v>
      </c>
      <c r="N245" s="10">
        <f t="shared" si="2"/>
        <v>134.4444444</v>
      </c>
      <c r="O245" s="11">
        <f t="shared" si="3"/>
        <v>0.8495386799</v>
      </c>
    </row>
    <row r="246">
      <c r="A246" s="1" t="s">
        <v>766</v>
      </c>
      <c r="B246" s="1" t="s">
        <v>767</v>
      </c>
      <c r="C246" s="1" t="s">
        <v>768</v>
      </c>
      <c r="D246" s="1">
        <v>54.0</v>
      </c>
      <c r="E246" s="1" t="s">
        <v>95</v>
      </c>
      <c r="F246" s="1">
        <v>3397.0</v>
      </c>
      <c r="G246" s="1">
        <v>5389.0</v>
      </c>
      <c r="H246" s="1">
        <v>4957.0</v>
      </c>
      <c r="I246" s="7">
        <f>IFERROR(__xludf.DUMMYFUNCTION("SPLIT(B246,""T""""Z"")"),41079.0)</f>
        <v>41079</v>
      </c>
      <c r="J246" s="8">
        <f>IFERROR(__xludf.DUMMYFUNCTION("""COMPUTED_VALUE"""),0.3305787037037037)</f>
        <v>0.3305787037</v>
      </c>
      <c r="K246" s="9">
        <f t="shared" si="1"/>
        <v>10</v>
      </c>
      <c r="L246" s="7">
        <f>IFERROR(__xludf.DUMMYFUNCTION("SPLIT(C246,""T""""Z"")"),44798.0)</f>
        <v>44798</v>
      </c>
      <c r="M246" s="8">
        <f>IFERROR(__xludf.DUMMYFUNCTION("""COMPUTED_VALUE"""),0.5823842592592593)</f>
        <v>0.5823842593</v>
      </c>
      <c r="N246" s="10">
        <f t="shared" si="2"/>
        <v>133.9772222</v>
      </c>
      <c r="O246" s="11">
        <f t="shared" si="3"/>
        <v>0.9198367044</v>
      </c>
    </row>
    <row r="247">
      <c r="A247" s="1" t="s">
        <v>769</v>
      </c>
      <c r="B247" s="1" t="s">
        <v>770</v>
      </c>
      <c r="C247" s="1" t="s">
        <v>771</v>
      </c>
      <c r="D247" s="1">
        <v>21.0</v>
      </c>
      <c r="E247" s="1" t="s">
        <v>206</v>
      </c>
      <c r="F247" s="1">
        <v>189.0</v>
      </c>
      <c r="G247" s="1">
        <v>593.0</v>
      </c>
      <c r="H247" s="1">
        <v>351.0</v>
      </c>
      <c r="I247" s="7">
        <f>IFERROR(__xludf.DUMMYFUNCTION("SPLIT(B247,""T""""Z"")"),41978.0)</f>
        <v>41978</v>
      </c>
      <c r="J247" s="8">
        <f>IFERROR(__xludf.DUMMYFUNCTION("""COMPUTED_VALUE"""),0.1883912037037037)</f>
        <v>0.1883912037</v>
      </c>
      <c r="K247" s="9">
        <f t="shared" si="1"/>
        <v>7</v>
      </c>
      <c r="L247" s="7">
        <f>IFERROR(__xludf.DUMMYFUNCTION("SPLIT(C247,""T""""Z"")"),44798.0)</f>
        <v>44798</v>
      </c>
      <c r="M247" s="8">
        <f>IFERROR(__xludf.DUMMYFUNCTION("""COMPUTED_VALUE"""),0.5828472222222222)</f>
        <v>0.5828472222</v>
      </c>
      <c r="N247" s="10">
        <f t="shared" si="2"/>
        <v>133.9883333</v>
      </c>
      <c r="O247" s="11">
        <f t="shared" si="3"/>
        <v>0.5919055649</v>
      </c>
    </row>
    <row r="248">
      <c r="A248" s="1" t="s">
        <v>772</v>
      </c>
      <c r="B248" s="1" t="s">
        <v>773</v>
      </c>
      <c r="C248" s="1" t="s">
        <v>774</v>
      </c>
      <c r="D248" s="1">
        <v>118.0</v>
      </c>
      <c r="E248" s="1" t="s">
        <v>48</v>
      </c>
      <c r="F248" s="1">
        <v>530.0</v>
      </c>
      <c r="G248" s="1">
        <v>4583.0</v>
      </c>
      <c r="H248" s="1">
        <v>3969.0</v>
      </c>
      <c r="I248" s="7">
        <f>IFERROR(__xludf.DUMMYFUNCTION("SPLIT(B248,""T""""Z"")"),41415.0)</f>
        <v>41415</v>
      </c>
      <c r="J248" s="8">
        <f>IFERROR(__xludf.DUMMYFUNCTION("""COMPUTED_VALUE"""),0.14265046296296297)</f>
        <v>0.142650463</v>
      </c>
      <c r="K248" s="9">
        <f t="shared" si="1"/>
        <v>9</v>
      </c>
      <c r="L248" s="7">
        <f>IFERROR(__xludf.DUMMYFUNCTION("SPLIT(C248,""T""""Z"")"),44798.0)</f>
        <v>44798</v>
      </c>
      <c r="M248" s="8">
        <f>IFERROR(__xludf.DUMMYFUNCTION("""COMPUTED_VALUE"""),0.5932638888888889)</f>
        <v>0.5932638889</v>
      </c>
      <c r="N248" s="10">
        <f t="shared" si="2"/>
        <v>134.2383333</v>
      </c>
      <c r="O248" s="11">
        <f t="shared" si="3"/>
        <v>0.8660266201</v>
      </c>
    </row>
    <row r="249">
      <c r="A249" s="1" t="s">
        <v>775</v>
      </c>
      <c r="B249" s="1" t="s">
        <v>776</v>
      </c>
      <c r="C249" s="1" t="s">
        <v>777</v>
      </c>
      <c r="D249" s="1">
        <v>162.0</v>
      </c>
      <c r="E249" s="1" t="s">
        <v>18</v>
      </c>
      <c r="F249" s="1">
        <v>1274.0</v>
      </c>
      <c r="G249" s="1">
        <v>3537.0</v>
      </c>
      <c r="H249" s="1">
        <v>2524.0</v>
      </c>
      <c r="I249" s="7">
        <f>IFERROR(__xludf.DUMMYFUNCTION("SPLIT(B249,""T""""Z"")"),42727.0)</f>
        <v>42727</v>
      </c>
      <c r="J249" s="8">
        <f>IFERROR(__xludf.DUMMYFUNCTION("""COMPUTED_VALUE"""),0.37928240740740743)</f>
        <v>0.3792824074</v>
      </c>
      <c r="K249" s="9">
        <f t="shared" si="1"/>
        <v>5</v>
      </c>
      <c r="L249" s="7">
        <f>IFERROR(__xludf.DUMMYFUNCTION("SPLIT(C249,""T""""Z"")"),44798.0)</f>
        <v>44798</v>
      </c>
      <c r="M249" s="8">
        <f>IFERROR(__xludf.DUMMYFUNCTION("""COMPUTED_VALUE"""),0.6090740740740741)</f>
        <v>0.6090740741</v>
      </c>
      <c r="N249" s="10">
        <f t="shared" si="2"/>
        <v>134.6177778</v>
      </c>
      <c r="O249" s="11">
        <f t="shared" si="3"/>
        <v>0.7135990953</v>
      </c>
    </row>
    <row r="250">
      <c r="A250" s="1" t="s">
        <v>778</v>
      </c>
      <c r="B250" s="1" t="s">
        <v>779</v>
      </c>
      <c r="C250" s="1" t="s">
        <v>780</v>
      </c>
      <c r="D250" s="1">
        <v>160.0</v>
      </c>
      <c r="E250" s="1" t="s">
        <v>18</v>
      </c>
      <c r="F250" s="1">
        <v>2423.0</v>
      </c>
      <c r="G250" s="1">
        <v>4897.0</v>
      </c>
      <c r="H250" s="1">
        <v>4808.0</v>
      </c>
      <c r="I250" s="7">
        <f>IFERROR(__xludf.DUMMYFUNCTION("SPLIT(B250,""T""""Z"")"),41295.0)</f>
        <v>41295</v>
      </c>
      <c r="J250" s="8">
        <f>IFERROR(__xludf.DUMMYFUNCTION("""COMPUTED_VALUE"""),0.9450231481481481)</f>
        <v>0.9450231481</v>
      </c>
      <c r="K250" s="9">
        <f t="shared" si="1"/>
        <v>9</v>
      </c>
      <c r="L250" s="7">
        <f>IFERROR(__xludf.DUMMYFUNCTION("SPLIT(C250,""T""""Z"")"),44798.0)</f>
        <v>44798</v>
      </c>
      <c r="M250" s="8">
        <f>IFERROR(__xludf.DUMMYFUNCTION("""COMPUTED_VALUE"""),0.5818287037037037)</f>
        <v>0.5818287037</v>
      </c>
      <c r="N250" s="10">
        <f t="shared" si="2"/>
        <v>133.9638889</v>
      </c>
      <c r="O250" s="11">
        <f t="shared" si="3"/>
        <v>0.9818256075</v>
      </c>
    </row>
    <row r="251">
      <c r="A251" s="1" t="s">
        <v>781</v>
      </c>
      <c r="B251" s="1" t="s">
        <v>782</v>
      </c>
      <c r="C251" s="1" t="s">
        <v>783</v>
      </c>
      <c r="D251" s="1">
        <v>118.0</v>
      </c>
      <c r="E251" s="1" t="s">
        <v>18</v>
      </c>
      <c r="F251" s="1">
        <v>841.0</v>
      </c>
      <c r="G251" s="1">
        <v>2574.0</v>
      </c>
      <c r="H251" s="1">
        <v>2468.0</v>
      </c>
      <c r="I251" s="7">
        <f>IFERROR(__xludf.DUMMYFUNCTION("SPLIT(B251,""T""""Z"")"),42598.0)</f>
        <v>42598</v>
      </c>
      <c r="J251" s="8">
        <f>IFERROR(__xludf.DUMMYFUNCTION("""COMPUTED_VALUE"""),0.2788425925925926)</f>
        <v>0.2788425926</v>
      </c>
      <c r="K251" s="9">
        <f t="shared" si="1"/>
        <v>6</v>
      </c>
      <c r="L251" s="7">
        <f>IFERROR(__xludf.DUMMYFUNCTION("SPLIT(C251,""T""""Z"")"),44798.0)</f>
        <v>44798</v>
      </c>
      <c r="M251" s="8">
        <f>IFERROR(__xludf.DUMMYFUNCTION("""COMPUTED_VALUE"""),0.5931018518518518)</f>
        <v>0.5931018519</v>
      </c>
      <c r="N251" s="10">
        <f t="shared" si="2"/>
        <v>134.2344444</v>
      </c>
      <c r="O251" s="11">
        <f t="shared" si="3"/>
        <v>0.9588189588</v>
      </c>
    </row>
    <row r="252">
      <c r="A252" s="1" t="s">
        <v>784</v>
      </c>
      <c r="B252" s="1" t="s">
        <v>785</v>
      </c>
      <c r="C252" s="1" t="s">
        <v>786</v>
      </c>
      <c r="D252" s="1">
        <v>121.0</v>
      </c>
      <c r="E252" s="1" t="s">
        <v>18</v>
      </c>
      <c r="F252" s="1">
        <v>4364.0</v>
      </c>
      <c r="G252" s="1">
        <v>2344.0</v>
      </c>
      <c r="H252" s="1">
        <v>2160.0</v>
      </c>
      <c r="I252" s="7">
        <f>IFERROR(__xludf.DUMMYFUNCTION("SPLIT(B252,""T""""Z"")"),42906.0)</f>
        <v>42906</v>
      </c>
      <c r="J252" s="8">
        <f>IFERROR(__xludf.DUMMYFUNCTION("""COMPUTED_VALUE"""),0.6763078703703703)</f>
        <v>0.6763078704</v>
      </c>
      <c r="K252" s="9">
        <f t="shared" si="1"/>
        <v>5</v>
      </c>
      <c r="L252" s="7">
        <f>IFERROR(__xludf.DUMMYFUNCTION("SPLIT(C252,""T""""Z"")"),44798.0)</f>
        <v>44798</v>
      </c>
      <c r="M252" s="8">
        <f>IFERROR(__xludf.DUMMYFUNCTION("""COMPUTED_VALUE"""),0.5666782407407407)</f>
        <v>0.5666782407</v>
      </c>
      <c r="N252" s="10">
        <f t="shared" si="2"/>
        <v>133.6002778</v>
      </c>
      <c r="O252" s="11">
        <f t="shared" si="3"/>
        <v>0.9215017065</v>
      </c>
    </row>
    <row r="253">
      <c r="A253" s="1" t="s">
        <v>787</v>
      </c>
      <c r="B253" s="1" t="s">
        <v>788</v>
      </c>
      <c r="C253" s="1" t="s">
        <v>789</v>
      </c>
      <c r="D253" s="1">
        <v>1.0</v>
      </c>
      <c r="E253" s="1" t="s">
        <v>48</v>
      </c>
      <c r="F253" s="1">
        <v>121.0</v>
      </c>
      <c r="G253" s="1">
        <v>162.0</v>
      </c>
      <c r="H253" s="1">
        <v>80.0</v>
      </c>
      <c r="I253" s="7">
        <f>IFERROR(__xludf.DUMMYFUNCTION("SPLIT(B253,""T""""Z"")"),42615.0)</f>
        <v>42615</v>
      </c>
      <c r="J253" s="8">
        <f>IFERROR(__xludf.DUMMYFUNCTION("""COMPUTED_VALUE"""),0.1475115740740741)</f>
        <v>0.1475115741</v>
      </c>
      <c r="K253" s="9">
        <f t="shared" si="1"/>
        <v>5</v>
      </c>
      <c r="L253" s="7">
        <f>IFERROR(__xludf.DUMMYFUNCTION("SPLIT(C253,""T""""Z"")"),44798.0)</f>
        <v>44798</v>
      </c>
      <c r="M253" s="8">
        <f>IFERROR(__xludf.DUMMYFUNCTION("""COMPUTED_VALUE"""),0.6074768518518519)</f>
        <v>0.6074768519</v>
      </c>
      <c r="N253" s="10">
        <f t="shared" si="2"/>
        <v>134.5794444</v>
      </c>
      <c r="O253" s="11">
        <f t="shared" si="3"/>
        <v>0.4938271605</v>
      </c>
    </row>
    <row r="254">
      <c r="A254" s="1" t="s">
        <v>790</v>
      </c>
      <c r="B254" s="1" t="s">
        <v>791</v>
      </c>
      <c r="C254" s="1" t="s">
        <v>792</v>
      </c>
      <c r="D254" s="1">
        <v>0.0</v>
      </c>
      <c r="E254" s="1" t="s">
        <v>48</v>
      </c>
      <c r="F254" s="1">
        <v>203.0</v>
      </c>
      <c r="G254" s="1">
        <v>3486.0</v>
      </c>
      <c r="H254" s="1">
        <v>2482.0</v>
      </c>
      <c r="I254" s="7">
        <f>IFERROR(__xludf.DUMMYFUNCTION("SPLIT(B254,""T""""Z"")"),43293.0)</f>
        <v>43293</v>
      </c>
      <c r="J254" s="8">
        <f>IFERROR(__xludf.DUMMYFUNCTION("""COMPUTED_VALUE"""),0.3698958333333333)</f>
        <v>0.3698958333</v>
      </c>
      <c r="K254" s="9">
        <f t="shared" si="1"/>
        <v>4</v>
      </c>
      <c r="L254" s="7">
        <f>IFERROR(__xludf.DUMMYFUNCTION("SPLIT(C254,""T""""Z"")"),44798.0)</f>
        <v>44798</v>
      </c>
      <c r="M254" s="8">
        <f>IFERROR(__xludf.DUMMYFUNCTION("""COMPUTED_VALUE"""),0.501724537037037)</f>
        <v>0.501724537</v>
      </c>
      <c r="N254" s="10">
        <f t="shared" si="2"/>
        <v>132.0413889</v>
      </c>
      <c r="O254" s="11">
        <f t="shared" si="3"/>
        <v>0.7119908204</v>
      </c>
    </row>
    <row r="255">
      <c r="A255" s="1" t="s">
        <v>793</v>
      </c>
      <c r="B255" s="1" t="s">
        <v>794</v>
      </c>
      <c r="C255" s="1" t="s">
        <v>795</v>
      </c>
      <c r="D255" s="1">
        <v>15.0</v>
      </c>
      <c r="E255" s="1" t="s">
        <v>48</v>
      </c>
      <c r="F255" s="1">
        <v>107.0</v>
      </c>
      <c r="G255" s="1">
        <v>458.0</v>
      </c>
      <c r="H255" s="1">
        <v>407.0</v>
      </c>
      <c r="I255" s="7">
        <f>IFERROR(__xludf.DUMMYFUNCTION("SPLIT(B255,""T""""Z"")"),40905.0)</f>
        <v>40905</v>
      </c>
      <c r="J255" s="8">
        <f>IFERROR(__xludf.DUMMYFUNCTION("""COMPUTED_VALUE"""),0.9328587962962963)</f>
        <v>0.9328587963</v>
      </c>
      <c r="K255" s="9">
        <f t="shared" si="1"/>
        <v>10</v>
      </c>
      <c r="L255" s="7">
        <f>IFERROR(__xludf.DUMMYFUNCTION("SPLIT(C255,""T""""Z"")"),44797.0)</f>
        <v>44797</v>
      </c>
      <c r="M255" s="8">
        <f>IFERROR(__xludf.DUMMYFUNCTION("""COMPUTED_VALUE"""),0.8595486111111111)</f>
        <v>0.8595486111</v>
      </c>
      <c r="N255" s="10">
        <f t="shared" si="2"/>
        <v>164.6291667</v>
      </c>
      <c r="O255" s="11">
        <f t="shared" si="3"/>
        <v>0.8886462882</v>
      </c>
    </row>
    <row r="256">
      <c r="A256" s="1" t="s">
        <v>796</v>
      </c>
      <c r="B256" s="1" t="s">
        <v>797</v>
      </c>
      <c r="C256" s="1" t="s">
        <v>798</v>
      </c>
      <c r="D256" s="1">
        <v>36.0</v>
      </c>
      <c r="E256" s="1" t="s">
        <v>161</v>
      </c>
      <c r="F256" s="1">
        <v>1004.0</v>
      </c>
      <c r="G256" s="1">
        <v>1091.0</v>
      </c>
      <c r="H256" s="1">
        <v>947.0</v>
      </c>
      <c r="I256" s="7">
        <f>IFERROR(__xludf.DUMMYFUNCTION("SPLIT(B256,""T""""Z"")"),43211.0)</f>
        <v>43211</v>
      </c>
      <c r="J256" s="8">
        <f>IFERROR(__xludf.DUMMYFUNCTION("""COMPUTED_VALUE"""),0.4530439814814815)</f>
        <v>0.4530439815</v>
      </c>
      <c r="K256" s="9">
        <f t="shared" si="1"/>
        <v>4</v>
      </c>
      <c r="L256" s="7">
        <f>IFERROR(__xludf.DUMMYFUNCTION("SPLIT(C256,""T""""Z"")"),44798.0)</f>
        <v>44798</v>
      </c>
      <c r="M256" s="8">
        <f>IFERROR(__xludf.DUMMYFUNCTION("""COMPUTED_VALUE"""),0.6076851851851852)</f>
        <v>0.6076851852</v>
      </c>
      <c r="N256" s="10">
        <f t="shared" si="2"/>
        <v>134.5844444</v>
      </c>
      <c r="O256" s="11">
        <f t="shared" si="3"/>
        <v>0.8680109991</v>
      </c>
    </row>
    <row r="257">
      <c r="A257" s="1" t="s">
        <v>799</v>
      </c>
      <c r="B257" s="1" t="s">
        <v>800</v>
      </c>
      <c r="C257" s="1" t="s">
        <v>801</v>
      </c>
      <c r="D257" s="1">
        <v>0.0</v>
      </c>
      <c r="E257" s="13" t="s">
        <v>22</v>
      </c>
      <c r="F257" s="1">
        <v>129.0</v>
      </c>
      <c r="G257" s="1">
        <v>51.0</v>
      </c>
      <c r="H257" s="1">
        <v>41.0</v>
      </c>
      <c r="I257" s="7">
        <f>IFERROR(__xludf.DUMMYFUNCTION("SPLIT(B257,""T""""Z"")"),41741.0)</f>
        <v>41741</v>
      </c>
      <c r="J257" s="8">
        <f>IFERROR(__xludf.DUMMYFUNCTION("""COMPUTED_VALUE"""),0.6935416666666666)</f>
        <v>0.6935416667</v>
      </c>
      <c r="K257" s="9">
        <f t="shared" si="1"/>
        <v>8</v>
      </c>
      <c r="L257" s="7">
        <f>IFERROR(__xludf.DUMMYFUNCTION("SPLIT(C257,""T""""Z"")"),44798.0)</f>
        <v>44798</v>
      </c>
      <c r="M257" s="8">
        <f>IFERROR(__xludf.DUMMYFUNCTION("""COMPUTED_VALUE"""),0.6034259259259259)</f>
        <v>0.6034259259</v>
      </c>
      <c r="N257" s="12">
        <f t="shared" si="2"/>
        <v>134.4822222</v>
      </c>
      <c r="O257" s="11">
        <f t="shared" si="3"/>
        <v>0.8039215686</v>
      </c>
    </row>
    <row r="258">
      <c r="A258" s="1" t="s">
        <v>802</v>
      </c>
      <c r="B258" s="1" t="s">
        <v>803</v>
      </c>
      <c r="C258" s="1" t="s">
        <v>804</v>
      </c>
      <c r="D258" s="1">
        <v>0.0</v>
      </c>
      <c r="E258" s="1" t="s">
        <v>206</v>
      </c>
      <c r="F258" s="1">
        <v>55.0</v>
      </c>
      <c r="G258" s="1">
        <v>585.0</v>
      </c>
      <c r="H258" s="1">
        <v>445.0</v>
      </c>
      <c r="I258" s="7">
        <f>IFERROR(__xludf.DUMMYFUNCTION("SPLIT(B258,""T""""Z"")"),42643.0)</f>
        <v>42643</v>
      </c>
      <c r="J258" s="8">
        <f>IFERROR(__xludf.DUMMYFUNCTION("""COMPUTED_VALUE"""),0.13452546296296297)</f>
        <v>0.134525463</v>
      </c>
      <c r="K258" s="9">
        <f t="shared" si="1"/>
        <v>5</v>
      </c>
      <c r="L258" s="7">
        <f>IFERROR(__xludf.DUMMYFUNCTION("SPLIT(C258,""T""""Z"")"),44798.0)</f>
        <v>44798</v>
      </c>
      <c r="M258" s="8">
        <f>IFERROR(__xludf.DUMMYFUNCTION("""COMPUTED_VALUE"""),0.4008564814814815)</f>
        <v>0.4008564815</v>
      </c>
      <c r="N258" s="10">
        <f t="shared" si="2"/>
        <v>129.6205556</v>
      </c>
      <c r="O258" s="11">
        <f t="shared" si="3"/>
        <v>0.7606837607</v>
      </c>
    </row>
    <row r="259">
      <c r="A259" s="1" t="s">
        <v>805</v>
      </c>
      <c r="B259" s="1" t="s">
        <v>806</v>
      </c>
      <c r="C259" s="1" t="s">
        <v>807</v>
      </c>
      <c r="D259" s="1">
        <v>14.0</v>
      </c>
      <c r="E259" s="1" t="s">
        <v>124</v>
      </c>
      <c r="F259" s="1">
        <v>52.0</v>
      </c>
      <c r="G259" s="1">
        <v>297.0</v>
      </c>
      <c r="H259" s="1">
        <v>223.0</v>
      </c>
      <c r="I259" s="7">
        <f>IFERROR(__xludf.DUMMYFUNCTION("SPLIT(B259,""T""""Z"")"),43276.0)</f>
        <v>43276</v>
      </c>
      <c r="J259" s="8">
        <f>IFERROR(__xludf.DUMMYFUNCTION("""COMPUTED_VALUE"""),0.2312847222222222)</f>
        <v>0.2312847222</v>
      </c>
      <c r="K259" s="9">
        <f t="shared" si="1"/>
        <v>4</v>
      </c>
      <c r="L259" s="7">
        <f>IFERROR(__xludf.DUMMYFUNCTION("SPLIT(C259,""T""""Z"")"),44798.0)</f>
        <v>44798</v>
      </c>
      <c r="M259" s="8">
        <f>IFERROR(__xludf.DUMMYFUNCTION("""COMPUTED_VALUE"""),0.5875578703703703)</f>
        <v>0.5875578704</v>
      </c>
      <c r="N259" s="10">
        <f t="shared" si="2"/>
        <v>134.1013889</v>
      </c>
      <c r="O259" s="11">
        <f t="shared" si="3"/>
        <v>0.7508417508</v>
      </c>
    </row>
    <row r="260">
      <c r="A260" s="1" t="s">
        <v>808</v>
      </c>
      <c r="B260" s="1" t="s">
        <v>809</v>
      </c>
      <c r="C260" s="1" t="s">
        <v>810</v>
      </c>
      <c r="D260" s="1">
        <v>1.0</v>
      </c>
      <c r="E260" s="1" t="s">
        <v>439</v>
      </c>
      <c r="F260" s="1">
        <v>923.0</v>
      </c>
      <c r="G260" s="1">
        <v>1968.0</v>
      </c>
      <c r="H260" s="1">
        <v>1418.0</v>
      </c>
      <c r="I260" s="7">
        <f>IFERROR(__xludf.DUMMYFUNCTION("SPLIT(B260,""T""""Z"")"),41343.0)</f>
        <v>41343</v>
      </c>
      <c r="J260" s="8">
        <f>IFERROR(__xludf.DUMMYFUNCTION("""COMPUTED_VALUE"""),0.2503587962962963)</f>
        <v>0.2503587963</v>
      </c>
      <c r="K260" s="9">
        <f t="shared" si="1"/>
        <v>9</v>
      </c>
      <c r="L260" s="7">
        <f>IFERROR(__xludf.DUMMYFUNCTION("SPLIT(C260,""T""""Z"")"),44798.0)</f>
        <v>44798</v>
      </c>
      <c r="M260" s="8">
        <f>IFERROR(__xludf.DUMMYFUNCTION("""COMPUTED_VALUE"""),0.5840856481481481)</f>
        <v>0.5840856481</v>
      </c>
      <c r="N260" s="10">
        <f t="shared" si="2"/>
        <v>134.0180556</v>
      </c>
      <c r="O260" s="11">
        <f t="shared" si="3"/>
        <v>0.7205284553</v>
      </c>
    </row>
    <row r="261">
      <c r="A261" s="1" t="s">
        <v>811</v>
      </c>
      <c r="B261" s="1" t="s">
        <v>812</v>
      </c>
      <c r="C261" s="1" t="s">
        <v>813</v>
      </c>
      <c r="D261" s="1">
        <v>0.0</v>
      </c>
      <c r="E261" s="13" t="s">
        <v>22</v>
      </c>
      <c r="F261" s="1">
        <v>0.0</v>
      </c>
      <c r="G261" s="1">
        <v>1245.0</v>
      </c>
      <c r="H261" s="1">
        <v>951.0</v>
      </c>
      <c r="I261" s="7">
        <f>IFERROR(__xludf.DUMMYFUNCTION("SPLIT(B261,""T""""Z"")"),42452.0)</f>
        <v>42452</v>
      </c>
      <c r="J261" s="8">
        <f>IFERROR(__xludf.DUMMYFUNCTION("""COMPUTED_VALUE"""),0.3636111111111111)</f>
        <v>0.3636111111</v>
      </c>
      <c r="K261" s="9">
        <f t="shared" si="1"/>
        <v>6</v>
      </c>
      <c r="L261" s="7">
        <f>IFERROR(__xludf.DUMMYFUNCTION("SPLIT(C261,""T""""Z"")"),44798.0)</f>
        <v>44798</v>
      </c>
      <c r="M261" s="8">
        <f>IFERROR(__xludf.DUMMYFUNCTION("""COMPUTED_VALUE"""),0.5954976851851852)</f>
        <v>0.5954976852</v>
      </c>
      <c r="N261" s="12">
        <f t="shared" si="2"/>
        <v>134.2919444</v>
      </c>
      <c r="O261" s="11">
        <f t="shared" si="3"/>
        <v>0.7638554217</v>
      </c>
    </row>
    <row r="262">
      <c r="A262" s="1" t="s">
        <v>814</v>
      </c>
      <c r="B262" s="1" t="s">
        <v>815</v>
      </c>
      <c r="C262" s="1" t="s">
        <v>816</v>
      </c>
      <c r="D262" s="1">
        <v>0.0</v>
      </c>
      <c r="E262" s="1" t="s">
        <v>439</v>
      </c>
      <c r="F262" s="1">
        <v>15324.0</v>
      </c>
      <c r="G262" s="1">
        <v>0.0</v>
      </c>
      <c r="H262" s="1">
        <v>0.0</v>
      </c>
      <c r="I262" s="7">
        <f>IFERROR(__xludf.DUMMYFUNCTION("SPLIT(B262,""T""""Z"")"),41286.0)</f>
        <v>41286</v>
      </c>
      <c r="J262" s="8">
        <f>IFERROR(__xludf.DUMMYFUNCTION("""COMPUTED_VALUE"""),0.017997685185185186)</f>
        <v>0.01799768519</v>
      </c>
      <c r="K262" s="9">
        <f t="shared" si="1"/>
        <v>9</v>
      </c>
      <c r="L262" s="7">
        <f>IFERROR(__xludf.DUMMYFUNCTION("SPLIT(C262,""T""""Z"")"),44798.0)</f>
        <v>44798</v>
      </c>
      <c r="M262" s="8">
        <f>IFERROR(__xludf.DUMMYFUNCTION("""COMPUTED_VALUE"""),0.2928935185185185)</f>
        <v>0.2928935185</v>
      </c>
      <c r="N262" s="10">
        <f t="shared" si="2"/>
        <v>127.0294444</v>
      </c>
      <c r="O262" s="11">
        <f t="shared" si="3"/>
        <v>0</v>
      </c>
    </row>
    <row r="263">
      <c r="A263" s="1" t="s">
        <v>817</v>
      </c>
      <c r="B263" s="1" t="s">
        <v>818</v>
      </c>
      <c r="C263" s="1" t="s">
        <v>819</v>
      </c>
      <c r="D263" s="1">
        <v>0.0</v>
      </c>
      <c r="E263" s="1" t="s">
        <v>38</v>
      </c>
      <c r="F263" s="1">
        <v>48.0</v>
      </c>
      <c r="G263" s="1">
        <v>906.0</v>
      </c>
      <c r="H263" s="1">
        <v>839.0</v>
      </c>
      <c r="I263" s="7">
        <f>IFERROR(__xludf.DUMMYFUNCTION("SPLIT(B263,""T""""Z"")"),43611.0)</f>
        <v>43611</v>
      </c>
      <c r="J263" s="8">
        <f>IFERROR(__xludf.DUMMYFUNCTION("""COMPUTED_VALUE"""),0.3723958333333333)</f>
        <v>0.3723958333</v>
      </c>
      <c r="K263" s="9">
        <f t="shared" si="1"/>
        <v>3</v>
      </c>
      <c r="L263" s="7">
        <f>IFERROR(__xludf.DUMMYFUNCTION("SPLIT(C263,""T""""Z"")"),44798.0)</f>
        <v>44798</v>
      </c>
      <c r="M263" s="8">
        <f>IFERROR(__xludf.DUMMYFUNCTION("""COMPUTED_VALUE"""),0.6001041666666667)</f>
        <v>0.6001041667</v>
      </c>
      <c r="N263" s="10">
        <f t="shared" si="2"/>
        <v>134.4025</v>
      </c>
      <c r="O263" s="11">
        <f t="shared" si="3"/>
        <v>0.9260485651</v>
      </c>
    </row>
    <row r="264">
      <c r="A264" s="1" t="s">
        <v>820</v>
      </c>
      <c r="B264" s="1" t="s">
        <v>821</v>
      </c>
      <c r="C264" s="1" t="s">
        <v>822</v>
      </c>
      <c r="D264" s="1">
        <v>0.0</v>
      </c>
      <c r="E264" s="1" t="s">
        <v>48</v>
      </c>
      <c r="F264" s="1">
        <v>290.0</v>
      </c>
      <c r="G264" s="1">
        <v>169.0</v>
      </c>
      <c r="H264" s="1">
        <v>167.0</v>
      </c>
      <c r="I264" s="7">
        <f>IFERROR(__xludf.DUMMYFUNCTION("SPLIT(B264,""T""""Z"")"),43253.0)</f>
        <v>43253</v>
      </c>
      <c r="J264" s="8">
        <f>IFERROR(__xludf.DUMMYFUNCTION("""COMPUTED_VALUE"""),0.1724074074074074)</f>
        <v>0.1724074074</v>
      </c>
      <c r="K264" s="9">
        <f t="shared" si="1"/>
        <v>4</v>
      </c>
      <c r="L264" s="7">
        <f>IFERROR(__xludf.DUMMYFUNCTION("SPLIT(C264,""T""""Z"")"),44798.0)</f>
        <v>44798</v>
      </c>
      <c r="M264" s="8">
        <f>IFERROR(__xludf.DUMMYFUNCTION("""COMPUTED_VALUE"""),0.6062152777777777)</f>
        <v>0.6062152778</v>
      </c>
      <c r="N264" s="10">
        <f t="shared" si="2"/>
        <v>134.5491667</v>
      </c>
      <c r="O264" s="11">
        <f t="shared" si="3"/>
        <v>0.9881656805</v>
      </c>
    </row>
    <row r="265">
      <c r="A265" s="1" t="s">
        <v>823</v>
      </c>
      <c r="B265" s="1" t="s">
        <v>824</v>
      </c>
      <c r="C265" s="1" t="s">
        <v>825</v>
      </c>
      <c r="D265" s="1">
        <v>29.0</v>
      </c>
      <c r="E265" s="1" t="s">
        <v>48</v>
      </c>
      <c r="F265" s="1">
        <v>399.0</v>
      </c>
      <c r="G265" s="1">
        <v>559.0</v>
      </c>
      <c r="H265" s="1">
        <v>553.0</v>
      </c>
      <c r="I265" s="7">
        <f>IFERROR(__xludf.DUMMYFUNCTION("SPLIT(B265,""T""""Z"")"),42763.0)</f>
        <v>42763</v>
      </c>
      <c r="J265" s="8">
        <f>IFERROR(__xludf.DUMMYFUNCTION("""COMPUTED_VALUE"""),0.3993287037037037)</f>
        <v>0.3993287037</v>
      </c>
      <c r="K265" s="9">
        <f t="shared" si="1"/>
        <v>5</v>
      </c>
      <c r="L265" s="7">
        <f>IFERROR(__xludf.DUMMYFUNCTION("SPLIT(C265,""T""""Z"")"),44798.0)</f>
        <v>44798</v>
      </c>
      <c r="M265" s="8">
        <f>IFERROR(__xludf.DUMMYFUNCTION("""COMPUTED_VALUE"""),0.538599537037037)</f>
        <v>0.538599537</v>
      </c>
      <c r="N265" s="10">
        <f t="shared" si="2"/>
        <v>132.9263889</v>
      </c>
      <c r="O265" s="11">
        <f t="shared" si="3"/>
        <v>0.9892665474</v>
      </c>
    </row>
    <row r="266">
      <c r="A266" s="1" t="s">
        <v>826</v>
      </c>
      <c r="B266" s="1" t="s">
        <v>827</v>
      </c>
      <c r="C266" s="1" t="s">
        <v>828</v>
      </c>
      <c r="D266" s="1">
        <v>525.0</v>
      </c>
      <c r="E266" s="1" t="s">
        <v>439</v>
      </c>
      <c r="F266" s="1">
        <v>5935.0</v>
      </c>
      <c r="G266" s="1">
        <v>12221.0</v>
      </c>
      <c r="H266" s="1">
        <v>12081.0</v>
      </c>
      <c r="I266" s="7">
        <f>IFERROR(__xludf.DUMMYFUNCTION("SPLIT(B266,""T""""Z"")"),41975.0)</f>
        <v>41975</v>
      </c>
      <c r="J266" s="8">
        <f>IFERROR(__xludf.DUMMYFUNCTION("""COMPUTED_VALUE"""),0.7087731481481482)</f>
        <v>0.7087731481</v>
      </c>
      <c r="K266" s="9">
        <f t="shared" si="1"/>
        <v>7</v>
      </c>
      <c r="L266" s="7">
        <f>IFERROR(__xludf.DUMMYFUNCTION("SPLIT(C266,""T""""Z"")"),44798.0)</f>
        <v>44798</v>
      </c>
      <c r="M266" s="8">
        <f>IFERROR(__xludf.DUMMYFUNCTION("""COMPUTED_VALUE"""),0.29791666666666666)</f>
        <v>0.2979166667</v>
      </c>
      <c r="N266" s="10">
        <f t="shared" si="2"/>
        <v>127.15</v>
      </c>
      <c r="O266" s="11">
        <f t="shared" si="3"/>
        <v>0.988544309</v>
      </c>
    </row>
    <row r="267">
      <c r="A267" s="1" t="s">
        <v>829</v>
      </c>
      <c r="B267" s="1" t="s">
        <v>830</v>
      </c>
      <c r="C267" s="1" t="s">
        <v>831</v>
      </c>
      <c r="D267" s="1">
        <v>46.0</v>
      </c>
      <c r="E267" s="1" t="s">
        <v>38</v>
      </c>
      <c r="F267" s="1">
        <v>4931.0</v>
      </c>
      <c r="G267" s="1">
        <v>1751.0</v>
      </c>
      <c r="H267" s="1">
        <v>1576.0</v>
      </c>
      <c r="I267" s="7">
        <f>IFERROR(__xludf.DUMMYFUNCTION("SPLIT(B267,""T""""Z"")"),42698.0)</f>
        <v>42698</v>
      </c>
      <c r="J267" s="8">
        <f>IFERROR(__xludf.DUMMYFUNCTION("""COMPUTED_VALUE"""),0.06493055555555556)</f>
        <v>0.06493055556</v>
      </c>
      <c r="K267" s="9">
        <f t="shared" si="1"/>
        <v>5</v>
      </c>
      <c r="L267" s="7">
        <f>IFERROR(__xludf.DUMMYFUNCTION("SPLIT(C267,""T""""Z"")"),44798.0)</f>
        <v>44798</v>
      </c>
      <c r="M267" s="8">
        <f>IFERROR(__xludf.DUMMYFUNCTION("""COMPUTED_VALUE"""),0.5886111111111111)</f>
        <v>0.5886111111</v>
      </c>
      <c r="N267" s="10">
        <f t="shared" si="2"/>
        <v>134.1266667</v>
      </c>
      <c r="O267" s="11">
        <f t="shared" si="3"/>
        <v>0.9000571102</v>
      </c>
    </row>
    <row r="268">
      <c r="A268" s="1" t="s">
        <v>832</v>
      </c>
      <c r="B268" s="1" t="s">
        <v>833</v>
      </c>
      <c r="C268" s="1" t="s">
        <v>834</v>
      </c>
      <c r="D268" s="1">
        <v>0.0</v>
      </c>
      <c r="E268" s="1" t="s">
        <v>621</v>
      </c>
      <c r="F268" s="1">
        <v>28.0</v>
      </c>
      <c r="G268" s="1">
        <v>161.0</v>
      </c>
      <c r="H268" s="1">
        <v>66.0</v>
      </c>
      <c r="I268" s="7">
        <f>IFERROR(__xludf.DUMMYFUNCTION("SPLIT(B268,""T""""Z"")"),42592.0)</f>
        <v>42592</v>
      </c>
      <c r="J268" s="8">
        <f>IFERROR(__xludf.DUMMYFUNCTION("""COMPUTED_VALUE"""),0.6004166666666667)</f>
        <v>0.6004166667</v>
      </c>
      <c r="K268" s="9">
        <f t="shared" si="1"/>
        <v>6</v>
      </c>
      <c r="L268" s="7">
        <f>IFERROR(__xludf.DUMMYFUNCTION("SPLIT(C268,""T""""Z"")"),44798.0)</f>
        <v>44798</v>
      </c>
      <c r="M268" s="8">
        <f>IFERROR(__xludf.DUMMYFUNCTION("""COMPUTED_VALUE"""),0.5913310185185185)</f>
        <v>0.5913310185</v>
      </c>
      <c r="N268" s="10">
        <f t="shared" si="2"/>
        <v>134.1919444</v>
      </c>
      <c r="O268" s="11">
        <f t="shared" si="3"/>
        <v>0.4099378882</v>
      </c>
    </row>
    <row r="269">
      <c r="A269" s="1" t="s">
        <v>835</v>
      </c>
      <c r="B269" s="1" t="s">
        <v>836</v>
      </c>
      <c r="C269" s="1" t="s">
        <v>837</v>
      </c>
      <c r="D269" s="1">
        <v>44.0</v>
      </c>
      <c r="E269" s="1" t="s">
        <v>95</v>
      </c>
      <c r="F269" s="1">
        <v>190.0</v>
      </c>
      <c r="G269" s="1">
        <v>4829.0</v>
      </c>
      <c r="H269" s="1">
        <v>2861.0</v>
      </c>
      <c r="I269" s="7">
        <f>IFERROR(__xludf.DUMMYFUNCTION("SPLIT(B269,""T""""Z"")"),41754.0)</f>
        <v>41754</v>
      </c>
      <c r="J269" s="8">
        <f>IFERROR(__xludf.DUMMYFUNCTION("""COMPUTED_VALUE"""),0.6040162037037037)</f>
        <v>0.6040162037</v>
      </c>
      <c r="K269" s="9">
        <f t="shared" si="1"/>
        <v>8</v>
      </c>
      <c r="L269" s="7">
        <f>IFERROR(__xludf.DUMMYFUNCTION("SPLIT(C269,""T""""Z"")"),44798.0)</f>
        <v>44798</v>
      </c>
      <c r="M269" s="8">
        <f>IFERROR(__xludf.DUMMYFUNCTION("""COMPUTED_VALUE"""),0.6005208333333333)</f>
        <v>0.6005208333</v>
      </c>
      <c r="N269" s="10">
        <f t="shared" si="2"/>
        <v>134.4125</v>
      </c>
      <c r="O269" s="11">
        <f t="shared" si="3"/>
        <v>0.5924622075</v>
      </c>
    </row>
    <row r="270">
      <c r="A270" s="1" t="s">
        <v>838</v>
      </c>
      <c r="B270" s="1" t="s">
        <v>839</v>
      </c>
      <c r="C270" s="1" t="s">
        <v>145</v>
      </c>
      <c r="D270" s="1">
        <v>26.0</v>
      </c>
      <c r="E270" s="1" t="s">
        <v>48</v>
      </c>
      <c r="F270" s="1">
        <v>2500.0</v>
      </c>
      <c r="G270" s="1">
        <v>4882.0</v>
      </c>
      <c r="H270" s="1">
        <v>4511.0</v>
      </c>
      <c r="I270" s="7">
        <f>IFERROR(__xludf.DUMMYFUNCTION("SPLIT(B270,""T""""Z"")"),40443.0)</f>
        <v>40443</v>
      </c>
      <c r="J270" s="8">
        <f>IFERROR(__xludf.DUMMYFUNCTION("""COMPUTED_VALUE"""),0.7067592592592593)</f>
        <v>0.7067592593</v>
      </c>
      <c r="K270" s="9">
        <f t="shared" si="1"/>
        <v>11</v>
      </c>
      <c r="L270" s="7">
        <f>IFERROR(__xludf.DUMMYFUNCTION("SPLIT(C270,""T""""Z"")"),44798.0)</f>
        <v>44798</v>
      </c>
      <c r="M270" s="8">
        <f>IFERROR(__xludf.DUMMYFUNCTION("""COMPUTED_VALUE"""),0.6043055555555555)</f>
        <v>0.6043055556</v>
      </c>
      <c r="N270" s="10">
        <f t="shared" si="2"/>
        <v>134.5033333</v>
      </c>
      <c r="O270" s="11">
        <f t="shared" si="3"/>
        <v>0.9240065547</v>
      </c>
    </row>
    <row r="271">
      <c r="A271" s="1" t="s">
        <v>840</v>
      </c>
      <c r="B271" s="1" t="s">
        <v>841</v>
      </c>
      <c r="C271" s="1" t="s">
        <v>842</v>
      </c>
      <c r="D271" s="1">
        <v>0.0</v>
      </c>
      <c r="E271" s="13" t="s">
        <v>22</v>
      </c>
      <c r="F271" s="1">
        <v>1.0</v>
      </c>
      <c r="G271" s="1">
        <v>339.0</v>
      </c>
      <c r="H271" s="1">
        <v>336.0</v>
      </c>
      <c r="I271" s="7">
        <f>IFERROR(__xludf.DUMMYFUNCTION("SPLIT(B271,""T""""Z"")"),42484.0)</f>
        <v>42484</v>
      </c>
      <c r="J271" s="8">
        <f>IFERROR(__xludf.DUMMYFUNCTION("""COMPUTED_VALUE"""),0.4985763888888889)</f>
        <v>0.4985763889</v>
      </c>
      <c r="K271" s="9">
        <f t="shared" si="1"/>
        <v>6</v>
      </c>
      <c r="L271" s="7">
        <f>IFERROR(__xludf.DUMMYFUNCTION("SPLIT(C271,""T""""Z"")"),44798.0)</f>
        <v>44798</v>
      </c>
      <c r="M271" s="8">
        <f>IFERROR(__xludf.DUMMYFUNCTION("""COMPUTED_VALUE"""),0.6101736111111111)</f>
        <v>0.6101736111</v>
      </c>
      <c r="N271" s="12">
        <f t="shared" si="2"/>
        <v>134.6441667</v>
      </c>
      <c r="O271" s="11">
        <f t="shared" si="3"/>
        <v>0.9911504425</v>
      </c>
    </row>
    <row r="272">
      <c r="A272" s="1" t="s">
        <v>843</v>
      </c>
      <c r="B272" s="1" t="s">
        <v>844</v>
      </c>
      <c r="C272" s="1" t="s">
        <v>845</v>
      </c>
      <c r="D272" s="1">
        <v>36.0</v>
      </c>
      <c r="E272" s="1" t="s">
        <v>48</v>
      </c>
      <c r="F272" s="1">
        <v>930.0</v>
      </c>
      <c r="G272" s="1">
        <v>2371.0</v>
      </c>
      <c r="H272" s="1">
        <v>1547.0</v>
      </c>
      <c r="I272" s="7">
        <f>IFERROR(__xludf.DUMMYFUNCTION("SPLIT(B272,""T""""Z"")"),43051.0)</f>
        <v>43051</v>
      </c>
      <c r="J272" s="8">
        <f>IFERROR(__xludf.DUMMYFUNCTION("""COMPUTED_VALUE"""),0.6704282407407407)</f>
        <v>0.6704282407</v>
      </c>
      <c r="K272" s="9">
        <f t="shared" si="1"/>
        <v>4</v>
      </c>
      <c r="L272" s="7">
        <f>IFERROR(__xludf.DUMMYFUNCTION("SPLIT(C272,""T""""Z"")"),44798.0)</f>
        <v>44798</v>
      </c>
      <c r="M272" s="8">
        <f>IFERROR(__xludf.DUMMYFUNCTION("""COMPUTED_VALUE"""),0.5659722222222222)</f>
        <v>0.5659722222</v>
      </c>
      <c r="N272" s="10">
        <f t="shared" si="2"/>
        <v>133.5833333</v>
      </c>
      <c r="O272" s="11">
        <f t="shared" si="3"/>
        <v>0.6524673134</v>
      </c>
    </row>
    <row r="273">
      <c r="A273" s="1" t="s">
        <v>846</v>
      </c>
      <c r="B273" s="1" t="s">
        <v>847</v>
      </c>
      <c r="C273" s="1" t="s">
        <v>848</v>
      </c>
      <c r="D273" s="1">
        <v>206.0</v>
      </c>
      <c r="E273" s="1" t="s">
        <v>52</v>
      </c>
      <c r="F273" s="1">
        <v>16165.0</v>
      </c>
      <c r="G273" s="1">
        <v>10353.0</v>
      </c>
      <c r="H273" s="1">
        <v>9686.0</v>
      </c>
      <c r="I273" s="7">
        <f>IFERROR(__xludf.DUMMYFUNCTION("SPLIT(B273,""T""""Z"")"),41981.0)</f>
        <v>41981</v>
      </c>
      <c r="J273" s="8">
        <f>IFERROR(__xludf.DUMMYFUNCTION("""COMPUTED_VALUE"""),0.7908912037037037)</f>
        <v>0.7908912037</v>
      </c>
      <c r="K273" s="9">
        <f t="shared" si="1"/>
        <v>7</v>
      </c>
      <c r="L273" s="7">
        <f>IFERROR(__xludf.DUMMYFUNCTION("SPLIT(C273,""T""""Z"")"),44798.0)</f>
        <v>44798</v>
      </c>
      <c r="M273" s="8">
        <f>IFERROR(__xludf.DUMMYFUNCTION("""COMPUTED_VALUE"""),0.581400462962963)</f>
        <v>0.581400463</v>
      </c>
      <c r="N273" s="10">
        <f t="shared" si="2"/>
        <v>133.9536111</v>
      </c>
      <c r="O273" s="11">
        <f t="shared" si="3"/>
        <v>0.9355742297</v>
      </c>
    </row>
    <row r="274">
      <c r="A274" s="1" t="s">
        <v>849</v>
      </c>
      <c r="B274" s="1" t="s">
        <v>850</v>
      </c>
      <c r="C274" s="1" t="s">
        <v>851</v>
      </c>
      <c r="D274" s="1">
        <v>106.0</v>
      </c>
      <c r="E274" s="1" t="s">
        <v>48</v>
      </c>
      <c r="F274" s="1">
        <v>790.0</v>
      </c>
      <c r="G274" s="1">
        <v>3800.0</v>
      </c>
      <c r="H274" s="1">
        <v>3727.0</v>
      </c>
      <c r="I274" s="7">
        <f>IFERROR(__xludf.DUMMYFUNCTION("SPLIT(B274,""T""""Z"")"),41175.0)</f>
        <v>41175</v>
      </c>
      <c r="J274" s="8">
        <f>IFERROR(__xludf.DUMMYFUNCTION("""COMPUTED_VALUE"""),0.6368981481481482)</f>
        <v>0.6368981481</v>
      </c>
      <c r="K274" s="9">
        <f t="shared" si="1"/>
        <v>9</v>
      </c>
      <c r="L274" s="7">
        <f>IFERROR(__xludf.DUMMYFUNCTION("SPLIT(C274,""T""""Z"")"),44798.0)</f>
        <v>44798</v>
      </c>
      <c r="M274" s="8">
        <f>IFERROR(__xludf.DUMMYFUNCTION("""COMPUTED_VALUE"""),0.4574652777777778)</f>
        <v>0.4574652778</v>
      </c>
      <c r="N274" s="10">
        <f t="shared" si="2"/>
        <v>130.9791667</v>
      </c>
      <c r="O274" s="11">
        <f t="shared" si="3"/>
        <v>0.9807894737</v>
      </c>
    </row>
    <row r="275">
      <c r="A275" s="1" t="s">
        <v>852</v>
      </c>
      <c r="B275" s="1" t="s">
        <v>853</v>
      </c>
      <c r="C275" s="1" t="s">
        <v>854</v>
      </c>
      <c r="D275" s="1">
        <v>4.0</v>
      </c>
      <c r="E275" s="1" t="s">
        <v>38</v>
      </c>
      <c r="F275" s="1">
        <v>731.0</v>
      </c>
      <c r="G275" s="1">
        <v>1011.0</v>
      </c>
      <c r="H275" s="1">
        <v>817.0</v>
      </c>
      <c r="I275" s="7">
        <f>IFERROR(__xludf.DUMMYFUNCTION("SPLIT(B275,""T""""Z"")"),42235.0)</f>
        <v>42235</v>
      </c>
      <c r="J275" s="8">
        <f>IFERROR(__xludf.DUMMYFUNCTION("""COMPUTED_VALUE"""),0.849212962962963)</f>
        <v>0.849212963</v>
      </c>
      <c r="K275" s="9">
        <f t="shared" si="1"/>
        <v>7</v>
      </c>
      <c r="L275" s="7">
        <f>IFERROR(__xludf.DUMMYFUNCTION("SPLIT(C275,""T""""Z"")"),44798.0)</f>
        <v>44798</v>
      </c>
      <c r="M275" s="8">
        <f>IFERROR(__xludf.DUMMYFUNCTION("""COMPUTED_VALUE"""),0.5797800925925926)</f>
        <v>0.5797800926</v>
      </c>
      <c r="N275" s="10">
        <f t="shared" si="2"/>
        <v>133.9147222</v>
      </c>
      <c r="O275" s="11">
        <f t="shared" si="3"/>
        <v>0.8081107814</v>
      </c>
    </row>
    <row r="276">
      <c r="A276" s="1" t="s">
        <v>855</v>
      </c>
      <c r="B276" s="1" t="s">
        <v>856</v>
      </c>
      <c r="C276" s="1" t="s">
        <v>857</v>
      </c>
      <c r="D276" s="1">
        <v>435.0</v>
      </c>
      <c r="E276" s="1" t="s">
        <v>18</v>
      </c>
      <c r="F276" s="1">
        <v>3066.0</v>
      </c>
      <c r="G276" s="1">
        <v>11082.0</v>
      </c>
      <c r="H276" s="1">
        <v>10058.0</v>
      </c>
      <c r="I276" s="7">
        <f>IFERROR(__xludf.DUMMYFUNCTION("SPLIT(B276,""T""""Z"")"),42625.0)</f>
        <v>42625</v>
      </c>
      <c r="J276" s="8">
        <f>IFERROR(__xludf.DUMMYFUNCTION("""COMPUTED_VALUE"""),0.027488425925925927)</f>
        <v>0.02748842593</v>
      </c>
      <c r="K276" s="9">
        <f t="shared" si="1"/>
        <v>5</v>
      </c>
      <c r="L276" s="7">
        <f>IFERROR(__xludf.DUMMYFUNCTION("SPLIT(C276,""T""""Z"")"),44798.0)</f>
        <v>44798</v>
      </c>
      <c r="M276" s="8">
        <f>IFERROR(__xludf.DUMMYFUNCTION("""COMPUTED_VALUE"""),0.5950115740740741)</f>
        <v>0.5950115741</v>
      </c>
      <c r="N276" s="10">
        <f t="shared" si="2"/>
        <v>134.2802778</v>
      </c>
      <c r="O276" s="11">
        <f t="shared" si="3"/>
        <v>0.9075979065</v>
      </c>
    </row>
    <row r="277">
      <c r="A277" s="1" t="s">
        <v>858</v>
      </c>
      <c r="B277" s="1" t="s">
        <v>859</v>
      </c>
      <c r="C277" s="1" t="s">
        <v>860</v>
      </c>
      <c r="D277" s="1">
        <v>87.0</v>
      </c>
      <c r="E277" s="1" t="s">
        <v>38</v>
      </c>
      <c r="F277" s="1">
        <v>19587.0</v>
      </c>
      <c r="G277" s="1">
        <v>22901.0</v>
      </c>
      <c r="H277" s="1">
        <v>19529.0</v>
      </c>
      <c r="I277" s="7">
        <f>IFERROR(__xludf.DUMMYFUNCTION("SPLIT(B277,""T""""Z"")"),40414.0)</f>
        <v>40414</v>
      </c>
      <c r="J277" s="8">
        <f>IFERROR(__xludf.DUMMYFUNCTION("""COMPUTED_VALUE"""),0.06774305555555556)</f>
        <v>0.06774305556</v>
      </c>
      <c r="K277" s="9">
        <f t="shared" si="1"/>
        <v>12</v>
      </c>
      <c r="L277" s="7">
        <f>IFERROR(__xludf.DUMMYFUNCTION("SPLIT(C277,""T""""Z"")"),44798.0)</f>
        <v>44798</v>
      </c>
      <c r="M277" s="8">
        <f>IFERROR(__xludf.DUMMYFUNCTION("""COMPUTED_VALUE"""),0.5991087962962963)</f>
        <v>0.5991087963</v>
      </c>
      <c r="N277" s="10">
        <f t="shared" si="2"/>
        <v>134.3786111</v>
      </c>
      <c r="O277" s="11">
        <f t="shared" si="3"/>
        <v>0.8527575215</v>
      </c>
    </row>
    <row r="278">
      <c r="A278" s="1" t="s">
        <v>861</v>
      </c>
      <c r="B278" s="1" t="s">
        <v>862</v>
      </c>
      <c r="C278" s="1" t="s">
        <v>863</v>
      </c>
      <c r="D278" s="1">
        <v>0.0</v>
      </c>
      <c r="E278" s="1" t="s">
        <v>38</v>
      </c>
      <c r="F278" s="1">
        <v>430.0</v>
      </c>
      <c r="G278" s="1">
        <v>661.0</v>
      </c>
      <c r="H278" s="1">
        <v>583.0</v>
      </c>
      <c r="I278" s="7">
        <f>IFERROR(__xludf.DUMMYFUNCTION("SPLIT(B278,""T""""Z"")"),43458.0)</f>
        <v>43458</v>
      </c>
      <c r="J278" s="8">
        <f>IFERROR(__xludf.DUMMYFUNCTION("""COMPUTED_VALUE"""),0.6047222222222223)</f>
        <v>0.6047222222</v>
      </c>
      <c r="K278" s="9">
        <f t="shared" si="1"/>
        <v>3</v>
      </c>
      <c r="L278" s="7">
        <f>IFERROR(__xludf.DUMMYFUNCTION("SPLIT(C278,""T""""Z"")"),44798.0)</f>
        <v>44798</v>
      </c>
      <c r="M278" s="8">
        <f>IFERROR(__xludf.DUMMYFUNCTION("""COMPUTED_VALUE"""),0.4459490740740741)</f>
        <v>0.4459490741</v>
      </c>
      <c r="N278" s="10">
        <f t="shared" si="2"/>
        <v>130.7027778</v>
      </c>
      <c r="O278" s="11">
        <f t="shared" si="3"/>
        <v>0.8819969743</v>
      </c>
    </row>
    <row r="279">
      <c r="A279" s="1" t="s">
        <v>864</v>
      </c>
      <c r="B279" s="1" t="s">
        <v>865</v>
      </c>
      <c r="C279" s="1" t="s">
        <v>866</v>
      </c>
      <c r="D279" s="1">
        <v>0.0</v>
      </c>
      <c r="E279" s="1" t="s">
        <v>48</v>
      </c>
      <c r="F279" s="1">
        <v>216.0</v>
      </c>
      <c r="G279" s="1">
        <v>83.0</v>
      </c>
      <c r="H279" s="1">
        <v>66.0</v>
      </c>
      <c r="I279" s="7">
        <f>IFERROR(__xludf.DUMMYFUNCTION("SPLIT(B279,""T""""Z"")"),43113.0)</f>
        <v>43113</v>
      </c>
      <c r="J279" s="8">
        <f>IFERROR(__xludf.DUMMYFUNCTION("""COMPUTED_VALUE"""),0.8195370370370371)</f>
        <v>0.819537037</v>
      </c>
      <c r="K279" s="9">
        <f t="shared" si="1"/>
        <v>4</v>
      </c>
      <c r="L279" s="7">
        <f>IFERROR(__xludf.DUMMYFUNCTION("SPLIT(C279,""T""""Z"")"),44798.0)</f>
        <v>44798</v>
      </c>
      <c r="M279" s="8">
        <f>IFERROR(__xludf.DUMMYFUNCTION("""COMPUTED_VALUE"""),0.5889236111111111)</f>
        <v>0.5889236111</v>
      </c>
      <c r="N279" s="10">
        <f t="shared" si="2"/>
        <v>134.1341667</v>
      </c>
      <c r="O279" s="11">
        <f t="shared" si="3"/>
        <v>0.7951807229</v>
      </c>
    </row>
    <row r="280">
      <c r="A280" s="1" t="s">
        <v>867</v>
      </c>
      <c r="B280" s="1" t="s">
        <v>868</v>
      </c>
      <c r="C280" s="1" t="s">
        <v>869</v>
      </c>
      <c r="D280" s="1">
        <v>172.0</v>
      </c>
      <c r="E280" s="13" t="s">
        <v>22</v>
      </c>
      <c r="F280" s="1">
        <v>4.0</v>
      </c>
      <c r="G280" s="1">
        <v>3083.0</v>
      </c>
      <c r="H280" s="1">
        <v>2925.0</v>
      </c>
      <c r="I280" s="7">
        <f>IFERROR(__xludf.DUMMYFUNCTION("SPLIT(B280,""T""""Z"")"),43391.0)</f>
        <v>43391</v>
      </c>
      <c r="J280" s="8">
        <f>IFERROR(__xludf.DUMMYFUNCTION("""COMPUTED_VALUE"""),0.9577546296296297)</f>
        <v>0.9577546296</v>
      </c>
      <c r="K280" s="9">
        <f t="shared" si="1"/>
        <v>3</v>
      </c>
      <c r="L280" s="7">
        <f>IFERROR(__xludf.DUMMYFUNCTION("SPLIT(C280,""T""""Z"")"),44798.0)</f>
        <v>44798</v>
      </c>
      <c r="M280" s="8">
        <f>IFERROR(__xludf.DUMMYFUNCTION("""COMPUTED_VALUE"""),0.5990509259259259)</f>
        <v>0.5990509259</v>
      </c>
      <c r="N280" s="12">
        <f t="shared" si="2"/>
        <v>134.3772222</v>
      </c>
      <c r="O280" s="11">
        <f t="shared" si="3"/>
        <v>0.9487512163</v>
      </c>
    </row>
    <row r="281">
      <c r="A281" s="1" t="s">
        <v>870</v>
      </c>
      <c r="B281" s="1" t="s">
        <v>871</v>
      </c>
      <c r="C281" s="1" t="s">
        <v>872</v>
      </c>
      <c r="D281" s="1">
        <v>1.0</v>
      </c>
      <c r="E281" s="13" t="s">
        <v>22</v>
      </c>
      <c r="F281" s="1">
        <v>129.0</v>
      </c>
      <c r="G281" s="1">
        <v>97.0</v>
      </c>
      <c r="H281" s="1">
        <v>79.0</v>
      </c>
      <c r="I281" s="7">
        <f>IFERROR(__xludf.DUMMYFUNCTION("SPLIT(B281,""T""""Z"")"),41447.0)</f>
        <v>41447</v>
      </c>
      <c r="J281" s="8">
        <f>IFERROR(__xludf.DUMMYFUNCTION("""COMPUTED_VALUE"""),0.5582754629629629)</f>
        <v>0.558275463</v>
      </c>
      <c r="K281" s="9">
        <f t="shared" si="1"/>
        <v>9</v>
      </c>
      <c r="L281" s="7">
        <f>IFERROR(__xludf.DUMMYFUNCTION("SPLIT(C281,""T""""Z"")"),44798.0)</f>
        <v>44798</v>
      </c>
      <c r="M281" s="8">
        <f>IFERROR(__xludf.DUMMYFUNCTION("""COMPUTED_VALUE"""),0.6040972222222222)</f>
        <v>0.6040972222</v>
      </c>
      <c r="N281" s="12">
        <f t="shared" si="2"/>
        <v>134.4983333</v>
      </c>
      <c r="O281" s="11">
        <f t="shared" si="3"/>
        <v>0.8144329897</v>
      </c>
    </row>
    <row r="282">
      <c r="A282" s="1" t="s">
        <v>873</v>
      </c>
      <c r="B282" s="1" t="s">
        <v>874</v>
      </c>
      <c r="C282" s="1" t="s">
        <v>875</v>
      </c>
      <c r="D282" s="1">
        <v>0.0</v>
      </c>
      <c r="E282" s="1" t="s">
        <v>38</v>
      </c>
      <c r="F282" s="1">
        <v>260.0</v>
      </c>
      <c r="G282" s="1">
        <v>80.0</v>
      </c>
      <c r="H282" s="1">
        <v>69.0</v>
      </c>
      <c r="I282" s="7">
        <f>IFERROR(__xludf.DUMMYFUNCTION("SPLIT(B282,""T""""Z"")"),41066.0)</f>
        <v>41066</v>
      </c>
      <c r="J282" s="8">
        <f>IFERROR(__xludf.DUMMYFUNCTION("""COMPUTED_VALUE"""),0.8767939814814815)</f>
        <v>0.8767939815</v>
      </c>
      <c r="K282" s="9">
        <f t="shared" si="1"/>
        <v>10</v>
      </c>
      <c r="L282" s="7">
        <f>IFERROR(__xludf.DUMMYFUNCTION("SPLIT(C282,""T""""Z"")"),44798.0)</f>
        <v>44798</v>
      </c>
      <c r="M282" s="8">
        <f>IFERROR(__xludf.DUMMYFUNCTION("""COMPUTED_VALUE"""),0.4284722222222222)</f>
        <v>0.4284722222</v>
      </c>
      <c r="N282" s="10">
        <f t="shared" si="2"/>
        <v>130.2833333</v>
      </c>
      <c r="O282" s="11">
        <f t="shared" si="3"/>
        <v>0.8625</v>
      </c>
    </row>
    <row r="283">
      <c r="A283" s="1" t="s">
        <v>876</v>
      </c>
      <c r="B283" s="1" t="s">
        <v>877</v>
      </c>
      <c r="C283" s="1" t="s">
        <v>878</v>
      </c>
      <c r="D283" s="1">
        <v>124.0</v>
      </c>
      <c r="E283" s="1" t="s">
        <v>193</v>
      </c>
      <c r="F283" s="1">
        <v>5615.0</v>
      </c>
      <c r="G283" s="1">
        <v>10373.0</v>
      </c>
      <c r="H283" s="1">
        <v>7199.0</v>
      </c>
      <c r="I283" s="7">
        <f>IFERROR(__xludf.DUMMYFUNCTION("SPLIT(B283,""T""""Z"")"),42382.0)</f>
        <v>42382</v>
      </c>
      <c r="J283" s="8">
        <f>IFERROR(__xludf.DUMMYFUNCTION("""COMPUTED_VALUE"""),0.9872106481481482)</f>
        <v>0.9872106481</v>
      </c>
      <c r="K283" s="9">
        <f t="shared" si="1"/>
        <v>6</v>
      </c>
      <c r="L283" s="7">
        <f>IFERROR(__xludf.DUMMYFUNCTION("SPLIT(C283,""T""""Z"")"),44798.0)</f>
        <v>44798</v>
      </c>
      <c r="M283" s="8">
        <f>IFERROR(__xludf.DUMMYFUNCTION("""COMPUTED_VALUE"""),0.6057754629629629)</f>
        <v>0.605775463</v>
      </c>
      <c r="N283" s="10">
        <f t="shared" si="2"/>
        <v>134.5386111</v>
      </c>
      <c r="O283" s="11">
        <f t="shared" si="3"/>
        <v>0.6940133038</v>
      </c>
    </row>
    <row r="284">
      <c r="A284" s="1" t="s">
        <v>879</v>
      </c>
      <c r="B284" s="1" t="s">
        <v>880</v>
      </c>
      <c r="C284" s="1" t="s">
        <v>881</v>
      </c>
      <c r="D284" s="1">
        <v>0.0</v>
      </c>
      <c r="E284" s="13" t="s">
        <v>22</v>
      </c>
      <c r="F284" s="1">
        <v>108.0</v>
      </c>
      <c r="G284" s="1">
        <v>112.0</v>
      </c>
      <c r="H284" s="1">
        <v>20.0</v>
      </c>
      <c r="I284" s="7">
        <f>IFERROR(__xludf.DUMMYFUNCTION("SPLIT(B284,""T""""Z"")"),41585.0)</f>
        <v>41585</v>
      </c>
      <c r="J284" s="8">
        <f>IFERROR(__xludf.DUMMYFUNCTION("""COMPUTED_VALUE"""),0.18756944444444446)</f>
        <v>0.1875694444</v>
      </c>
      <c r="K284" s="9">
        <f t="shared" si="1"/>
        <v>8</v>
      </c>
      <c r="L284" s="7">
        <f>IFERROR(__xludf.DUMMYFUNCTION("SPLIT(C284,""T""""Z"")"),44798.0)</f>
        <v>44798</v>
      </c>
      <c r="M284" s="8">
        <f>IFERROR(__xludf.DUMMYFUNCTION("""COMPUTED_VALUE"""),0.5465972222222222)</f>
        <v>0.5465972222</v>
      </c>
      <c r="N284" s="12">
        <f t="shared" si="2"/>
        <v>133.1183333</v>
      </c>
      <c r="O284" s="11">
        <f t="shared" si="3"/>
        <v>0.1785714286</v>
      </c>
    </row>
    <row r="285">
      <c r="A285" s="1" t="s">
        <v>882</v>
      </c>
      <c r="B285" s="1" t="s">
        <v>883</v>
      </c>
      <c r="C285" s="1" t="s">
        <v>884</v>
      </c>
      <c r="D285" s="1">
        <v>0.0</v>
      </c>
      <c r="E285" s="13" t="s">
        <v>22</v>
      </c>
      <c r="F285" s="1">
        <v>47.0</v>
      </c>
      <c r="G285" s="1">
        <v>52.0</v>
      </c>
      <c r="H285" s="1">
        <v>44.0</v>
      </c>
      <c r="I285" s="7">
        <f>IFERROR(__xludf.DUMMYFUNCTION("SPLIT(B285,""T""""Z"")"),42782.0)</f>
        <v>42782</v>
      </c>
      <c r="J285" s="8">
        <f>IFERROR(__xludf.DUMMYFUNCTION("""COMPUTED_VALUE"""),0.8921180555555556)</f>
        <v>0.8921180556</v>
      </c>
      <c r="K285" s="9">
        <f t="shared" si="1"/>
        <v>5</v>
      </c>
      <c r="L285" s="7">
        <f>IFERROR(__xludf.DUMMYFUNCTION("SPLIT(C285,""T""""Z"")"),44798.0)</f>
        <v>44798</v>
      </c>
      <c r="M285" s="8">
        <f>IFERROR(__xludf.DUMMYFUNCTION("""COMPUTED_VALUE"""),0.6016087962962963)</f>
        <v>0.6016087963</v>
      </c>
      <c r="N285" s="12">
        <f t="shared" si="2"/>
        <v>134.4386111</v>
      </c>
      <c r="O285" s="11">
        <f t="shared" si="3"/>
        <v>0.8461538462</v>
      </c>
    </row>
    <row r="286">
      <c r="A286" s="1" t="s">
        <v>885</v>
      </c>
      <c r="B286" s="1" t="s">
        <v>886</v>
      </c>
      <c r="C286" s="1" t="s">
        <v>887</v>
      </c>
      <c r="D286" s="1">
        <v>353.0</v>
      </c>
      <c r="E286" s="1" t="s">
        <v>124</v>
      </c>
      <c r="F286" s="1">
        <v>7477.0</v>
      </c>
      <c r="G286" s="1">
        <v>6130.0</v>
      </c>
      <c r="H286" s="1">
        <v>6116.0</v>
      </c>
      <c r="I286" s="7">
        <f>IFERROR(__xludf.DUMMYFUNCTION("SPLIT(B286,""T""""Z"")"),42018.0)</f>
        <v>42018</v>
      </c>
      <c r="J286" s="8">
        <f>IFERROR(__xludf.DUMMYFUNCTION("""COMPUTED_VALUE"""),0.8083101851851852)</f>
        <v>0.8083101852</v>
      </c>
      <c r="K286" s="9">
        <f t="shared" si="1"/>
        <v>7</v>
      </c>
      <c r="L286" s="7">
        <f>IFERROR(__xludf.DUMMYFUNCTION("SPLIT(C286,""T""""Z"")"),44798.0)</f>
        <v>44798</v>
      </c>
      <c r="M286" s="8">
        <f>IFERROR(__xludf.DUMMYFUNCTION("""COMPUTED_VALUE"""),0.6086689814814815)</f>
        <v>0.6086689815</v>
      </c>
      <c r="N286" s="10">
        <f t="shared" si="2"/>
        <v>134.6080556</v>
      </c>
      <c r="O286" s="11">
        <f t="shared" si="3"/>
        <v>0.9977161501</v>
      </c>
    </row>
    <row r="287">
      <c r="A287" s="1" t="s">
        <v>888</v>
      </c>
      <c r="B287" s="1" t="s">
        <v>889</v>
      </c>
      <c r="C287" s="1" t="s">
        <v>890</v>
      </c>
      <c r="D287" s="1">
        <v>0.0</v>
      </c>
      <c r="E287" s="13" t="s">
        <v>22</v>
      </c>
      <c r="F287" s="1">
        <v>218.0</v>
      </c>
      <c r="G287" s="1">
        <v>6380.0</v>
      </c>
      <c r="H287" s="1">
        <v>5845.0</v>
      </c>
      <c r="I287" s="7">
        <f>IFERROR(__xludf.DUMMYFUNCTION("SPLIT(B287,""T""""Z"")"),39960.0)</f>
        <v>39960</v>
      </c>
      <c r="J287" s="8">
        <f>IFERROR(__xludf.DUMMYFUNCTION("""COMPUTED_VALUE"""),0.687337962962963)</f>
        <v>0.687337963</v>
      </c>
      <c r="K287" s="9">
        <f t="shared" si="1"/>
        <v>13</v>
      </c>
      <c r="L287" s="7">
        <f>IFERROR(__xludf.DUMMYFUNCTION("SPLIT(C287,""T""""Z"")"),44795.0)</f>
        <v>44795</v>
      </c>
      <c r="M287" s="8">
        <f>IFERROR(__xludf.DUMMYFUNCTION("""COMPUTED_VALUE"""),0.4832986111111111)</f>
        <v>0.4832986111</v>
      </c>
      <c r="N287" s="12">
        <f t="shared" si="2"/>
        <v>203.5991667</v>
      </c>
      <c r="O287" s="11">
        <f t="shared" si="3"/>
        <v>0.9161442006</v>
      </c>
    </row>
    <row r="288">
      <c r="A288" s="1" t="s">
        <v>891</v>
      </c>
      <c r="B288" s="1" t="s">
        <v>892</v>
      </c>
      <c r="C288" s="1" t="s">
        <v>893</v>
      </c>
      <c r="D288" s="1">
        <v>15.0</v>
      </c>
      <c r="E288" s="1" t="s">
        <v>38</v>
      </c>
      <c r="F288" s="1">
        <v>984.0</v>
      </c>
      <c r="G288" s="1">
        <v>0.0</v>
      </c>
      <c r="H288" s="1">
        <v>0.0</v>
      </c>
      <c r="I288" s="7">
        <f>IFERROR(__xludf.DUMMYFUNCTION("SPLIT(B288,""T""""Z"")"),42970.0)</f>
        <v>42970</v>
      </c>
      <c r="J288" s="8">
        <f>IFERROR(__xludf.DUMMYFUNCTION("""COMPUTED_VALUE"""),0.1947222222222222)</f>
        <v>0.1947222222</v>
      </c>
      <c r="K288" s="9">
        <f t="shared" si="1"/>
        <v>5</v>
      </c>
      <c r="L288" s="7">
        <f>IFERROR(__xludf.DUMMYFUNCTION("SPLIT(C288,""T""""Z"")"),44798.0)</f>
        <v>44798</v>
      </c>
      <c r="M288" s="8">
        <f>IFERROR(__xludf.DUMMYFUNCTION("""COMPUTED_VALUE"""),0.5997337962962963)</f>
        <v>0.5997337963</v>
      </c>
      <c r="N288" s="10">
        <f t="shared" si="2"/>
        <v>134.3936111</v>
      </c>
      <c r="O288" s="11">
        <f t="shared" si="3"/>
        <v>0</v>
      </c>
    </row>
    <row r="289">
      <c r="A289" s="1" t="s">
        <v>894</v>
      </c>
      <c r="B289" s="1" t="s">
        <v>895</v>
      </c>
      <c r="C289" s="1" t="s">
        <v>896</v>
      </c>
      <c r="D289" s="1">
        <v>27.0</v>
      </c>
      <c r="E289" s="1" t="s">
        <v>897</v>
      </c>
      <c r="F289" s="1">
        <v>282.0</v>
      </c>
      <c r="G289" s="1">
        <v>591.0</v>
      </c>
      <c r="H289" s="1">
        <v>549.0</v>
      </c>
      <c r="I289" s="7">
        <f>IFERROR(__xludf.DUMMYFUNCTION("SPLIT(B289,""T""""Z"")"),41530.0)</f>
        <v>41530</v>
      </c>
      <c r="J289" s="8">
        <f>IFERROR(__xludf.DUMMYFUNCTION("""COMPUTED_VALUE"""),0.9273611111111111)</f>
        <v>0.9273611111</v>
      </c>
      <c r="K289" s="9">
        <f t="shared" si="1"/>
        <v>8</v>
      </c>
      <c r="L289" s="7">
        <f>IFERROR(__xludf.DUMMYFUNCTION("SPLIT(C289,""T""""Z"")"),44798.0)</f>
        <v>44798</v>
      </c>
      <c r="M289" s="8">
        <f>IFERROR(__xludf.DUMMYFUNCTION("""COMPUTED_VALUE"""),0.3542476851851852)</f>
        <v>0.3542476852</v>
      </c>
      <c r="N289" s="10">
        <f t="shared" si="2"/>
        <v>128.5019444</v>
      </c>
      <c r="O289" s="11">
        <f t="shared" si="3"/>
        <v>0.9289340102</v>
      </c>
    </row>
    <row r="290">
      <c r="A290" s="1" t="s">
        <v>898</v>
      </c>
      <c r="B290" s="1" t="s">
        <v>899</v>
      </c>
      <c r="C290" s="1" t="s">
        <v>456</v>
      </c>
      <c r="D290" s="1">
        <v>2.0</v>
      </c>
      <c r="E290" s="1" t="s">
        <v>38</v>
      </c>
      <c r="F290" s="1">
        <v>32.0</v>
      </c>
      <c r="G290" s="1">
        <v>1179.0</v>
      </c>
      <c r="H290" s="1">
        <v>739.0</v>
      </c>
      <c r="I290" s="7">
        <f>IFERROR(__xludf.DUMMYFUNCTION("SPLIT(B290,""T""""Z"")"),43255.0)</f>
        <v>43255</v>
      </c>
      <c r="J290" s="8">
        <f>IFERROR(__xludf.DUMMYFUNCTION("""COMPUTED_VALUE"""),0.5486111111111112)</f>
        <v>0.5486111111</v>
      </c>
      <c r="K290" s="9">
        <f t="shared" si="1"/>
        <v>4</v>
      </c>
      <c r="L290" s="7">
        <f>IFERROR(__xludf.DUMMYFUNCTION("SPLIT(C290,""T""""Z"")"),44798.0)</f>
        <v>44798</v>
      </c>
      <c r="M290" s="8">
        <f>IFERROR(__xludf.DUMMYFUNCTION("""COMPUTED_VALUE"""),0.6096064814814814)</f>
        <v>0.6096064815</v>
      </c>
      <c r="N290" s="10">
        <f t="shared" si="2"/>
        <v>134.6305556</v>
      </c>
      <c r="O290" s="11">
        <f t="shared" si="3"/>
        <v>0.6268023749</v>
      </c>
    </row>
    <row r="291">
      <c r="A291" s="1" t="s">
        <v>900</v>
      </c>
      <c r="B291" s="1" t="s">
        <v>901</v>
      </c>
      <c r="C291" s="1" t="s">
        <v>902</v>
      </c>
      <c r="D291" s="1">
        <v>85.0</v>
      </c>
      <c r="E291" s="1" t="s">
        <v>124</v>
      </c>
      <c r="F291" s="1">
        <v>1323.0</v>
      </c>
      <c r="G291" s="1">
        <v>4536.0</v>
      </c>
      <c r="H291" s="1">
        <v>3813.0</v>
      </c>
      <c r="I291" s="7">
        <f>IFERROR(__xludf.DUMMYFUNCTION("SPLIT(B291,""T""""Z"")"),41714.0)</f>
        <v>41714</v>
      </c>
      <c r="J291" s="8">
        <f>IFERROR(__xludf.DUMMYFUNCTION("""COMPUTED_VALUE"""),0.6805208333333334)</f>
        <v>0.6805208333</v>
      </c>
      <c r="K291" s="9">
        <f t="shared" si="1"/>
        <v>8</v>
      </c>
      <c r="L291" s="7">
        <f>IFERROR(__xludf.DUMMYFUNCTION("SPLIT(C291,""T""""Z"")"),44798.0)</f>
        <v>44798</v>
      </c>
      <c r="M291" s="8">
        <f>IFERROR(__xludf.DUMMYFUNCTION("""COMPUTED_VALUE"""),0.5632523148148149)</f>
        <v>0.5632523148</v>
      </c>
      <c r="N291" s="10">
        <f t="shared" si="2"/>
        <v>133.5180556</v>
      </c>
      <c r="O291" s="11">
        <f t="shared" si="3"/>
        <v>0.8406084656</v>
      </c>
    </row>
    <row r="292">
      <c r="A292" s="1" t="s">
        <v>903</v>
      </c>
      <c r="B292" s="1" t="s">
        <v>904</v>
      </c>
      <c r="C292" s="1" t="s">
        <v>905</v>
      </c>
      <c r="D292" s="1">
        <v>0.0</v>
      </c>
      <c r="E292" s="1" t="s">
        <v>88</v>
      </c>
      <c r="F292" s="1">
        <v>1268.0</v>
      </c>
      <c r="G292" s="1">
        <v>748.0</v>
      </c>
      <c r="H292" s="1">
        <v>553.0</v>
      </c>
      <c r="I292" s="7">
        <f>IFERROR(__xludf.DUMMYFUNCTION("SPLIT(B292,""T""""Z"")"),40710.0)</f>
        <v>40710</v>
      </c>
      <c r="J292" s="8">
        <f>IFERROR(__xludf.DUMMYFUNCTION("""COMPUTED_VALUE"""),0.07806712962962963)</f>
        <v>0.07806712963</v>
      </c>
      <c r="K292" s="9">
        <f t="shared" si="1"/>
        <v>11</v>
      </c>
      <c r="L292" s="7">
        <f>IFERROR(__xludf.DUMMYFUNCTION("SPLIT(C292,""T""""Z"")"),44798.0)</f>
        <v>44798</v>
      </c>
      <c r="M292" s="8">
        <f>IFERROR(__xludf.DUMMYFUNCTION("""COMPUTED_VALUE"""),0.47913194444444446)</f>
        <v>0.4791319444</v>
      </c>
      <c r="N292" s="10">
        <f t="shared" si="2"/>
        <v>131.4991667</v>
      </c>
      <c r="O292" s="11">
        <f t="shared" si="3"/>
        <v>0.7393048128</v>
      </c>
    </row>
    <row r="293">
      <c r="A293" s="1" t="s">
        <v>906</v>
      </c>
      <c r="B293" s="1" t="s">
        <v>907</v>
      </c>
      <c r="C293" s="1" t="s">
        <v>908</v>
      </c>
      <c r="D293" s="1">
        <v>0.0</v>
      </c>
      <c r="E293" s="1" t="s">
        <v>909</v>
      </c>
      <c r="F293" s="1">
        <v>49.0</v>
      </c>
      <c r="G293" s="1">
        <v>90.0</v>
      </c>
      <c r="H293" s="1">
        <v>27.0</v>
      </c>
      <c r="I293" s="7">
        <f>IFERROR(__xludf.DUMMYFUNCTION("SPLIT(B293,""T""""Z"")"),42987.0)</f>
        <v>42987</v>
      </c>
      <c r="J293" s="8">
        <f>IFERROR(__xludf.DUMMYFUNCTION("""COMPUTED_VALUE"""),0.6898842592592592)</f>
        <v>0.6898842593</v>
      </c>
      <c r="K293" s="9">
        <f t="shared" si="1"/>
        <v>4</v>
      </c>
      <c r="L293" s="7">
        <f>IFERROR(__xludf.DUMMYFUNCTION("SPLIT(C293,""T""""Z"")"),44798.0)</f>
        <v>44798</v>
      </c>
      <c r="M293" s="8">
        <f>IFERROR(__xludf.DUMMYFUNCTION("""COMPUTED_VALUE"""),0.589212962962963)</f>
        <v>0.589212963</v>
      </c>
      <c r="N293" s="10">
        <f t="shared" si="2"/>
        <v>134.1411111</v>
      </c>
      <c r="O293" s="11">
        <f t="shared" si="3"/>
        <v>0.3</v>
      </c>
    </row>
    <row r="294">
      <c r="A294" s="1" t="s">
        <v>910</v>
      </c>
      <c r="B294" s="1" t="s">
        <v>911</v>
      </c>
      <c r="C294" s="1" t="s">
        <v>912</v>
      </c>
      <c r="D294" s="1">
        <v>0.0</v>
      </c>
      <c r="E294" s="1" t="s">
        <v>38</v>
      </c>
      <c r="F294" s="1">
        <v>35.0</v>
      </c>
      <c r="G294" s="1">
        <v>45.0</v>
      </c>
      <c r="H294" s="1">
        <v>18.0</v>
      </c>
      <c r="I294" s="7">
        <f>IFERROR(__xludf.DUMMYFUNCTION("SPLIT(B294,""T""""Z"")"),43626.0)</f>
        <v>43626</v>
      </c>
      <c r="J294" s="8">
        <f>IFERROR(__xludf.DUMMYFUNCTION("""COMPUTED_VALUE"""),0.2877199074074074)</f>
        <v>0.2877199074</v>
      </c>
      <c r="K294" s="9">
        <f t="shared" si="1"/>
        <v>3</v>
      </c>
      <c r="L294" s="7">
        <f>IFERROR(__xludf.DUMMYFUNCTION("SPLIT(C294,""T""""Z"")"),44798.0)</f>
        <v>44798</v>
      </c>
      <c r="M294" s="8">
        <f>IFERROR(__xludf.DUMMYFUNCTION("""COMPUTED_VALUE"""),0.5361574074074074)</f>
        <v>0.5361574074</v>
      </c>
      <c r="N294" s="10">
        <f t="shared" si="2"/>
        <v>132.8677778</v>
      </c>
      <c r="O294" s="11">
        <f t="shared" si="3"/>
        <v>0.4</v>
      </c>
    </row>
    <row r="295">
      <c r="A295" s="1" t="s">
        <v>913</v>
      </c>
      <c r="B295" s="1" t="s">
        <v>914</v>
      </c>
      <c r="C295" s="1" t="s">
        <v>915</v>
      </c>
      <c r="D295" s="1">
        <v>79.0</v>
      </c>
      <c r="E295" s="1" t="s">
        <v>48</v>
      </c>
      <c r="F295" s="1">
        <v>286.0</v>
      </c>
      <c r="G295" s="1">
        <v>3924.0</v>
      </c>
      <c r="H295" s="1">
        <v>3767.0</v>
      </c>
      <c r="I295" s="7">
        <f>IFERROR(__xludf.DUMMYFUNCTION("SPLIT(B295,""T""""Z"")"),41537.0)</f>
        <v>41537</v>
      </c>
      <c r="J295" s="8">
        <f>IFERROR(__xludf.DUMMYFUNCTION("""COMPUTED_VALUE"""),0.49894675925925924)</f>
        <v>0.4989467593</v>
      </c>
      <c r="K295" s="9">
        <f t="shared" si="1"/>
        <v>8</v>
      </c>
      <c r="L295" s="7">
        <f>IFERROR(__xludf.DUMMYFUNCTION("SPLIT(C295,""T""""Z"")"),44798.0)</f>
        <v>44798</v>
      </c>
      <c r="M295" s="8">
        <f>IFERROR(__xludf.DUMMYFUNCTION("""COMPUTED_VALUE"""),0.6019097222222223)</f>
        <v>0.6019097222</v>
      </c>
      <c r="N295" s="10">
        <f t="shared" si="2"/>
        <v>134.4458333</v>
      </c>
      <c r="O295" s="11">
        <f t="shared" si="3"/>
        <v>0.9599898063</v>
      </c>
    </row>
    <row r="296">
      <c r="A296" s="1" t="s">
        <v>916</v>
      </c>
      <c r="B296" s="1" t="s">
        <v>917</v>
      </c>
      <c r="C296" s="1" t="s">
        <v>918</v>
      </c>
      <c r="D296" s="1">
        <v>22.0</v>
      </c>
      <c r="E296" s="1" t="s">
        <v>95</v>
      </c>
      <c r="F296" s="1">
        <v>301.0</v>
      </c>
      <c r="G296" s="1">
        <v>3308.0</v>
      </c>
      <c r="H296" s="1">
        <v>2133.0</v>
      </c>
      <c r="I296" s="7">
        <f>IFERROR(__xludf.DUMMYFUNCTION("SPLIT(B296,""T""""Z"")"),43525.0)</f>
        <v>43525</v>
      </c>
      <c r="J296" s="8">
        <f>IFERROR(__xludf.DUMMYFUNCTION("""COMPUTED_VALUE"""),0.14430555555555555)</f>
        <v>0.1443055556</v>
      </c>
      <c r="K296" s="9">
        <f t="shared" si="1"/>
        <v>3</v>
      </c>
      <c r="L296" s="7">
        <f>IFERROR(__xludf.DUMMYFUNCTION("SPLIT(C296,""T""""Z"")"),44798.0)</f>
        <v>44798</v>
      </c>
      <c r="M296" s="8">
        <f>IFERROR(__xludf.DUMMYFUNCTION("""COMPUTED_VALUE"""),0.5947337962962963)</f>
        <v>0.5947337963</v>
      </c>
      <c r="N296" s="10">
        <f t="shared" si="2"/>
        <v>134.2736111</v>
      </c>
      <c r="O296" s="11">
        <f t="shared" si="3"/>
        <v>0.6448004837</v>
      </c>
    </row>
    <row r="297">
      <c r="A297" s="1" t="s">
        <v>919</v>
      </c>
      <c r="B297" s="1" t="s">
        <v>920</v>
      </c>
      <c r="C297" s="1" t="s">
        <v>921</v>
      </c>
      <c r="D297" s="1">
        <v>220.0</v>
      </c>
      <c r="E297" s="1" t="s">
        <v>124</v>
      </c>
      <c r="F297" s="1">
        <v>10173.0</v>
      </c>
      <c r="G297" s="1">
        <v>18916.0</v>
      </c>
      <c r="H297" s="1">
        <v>17397.0</v>
      </c>
      <c r="I297" s="7">
        <f>IFERROR(__xludf.DUMMYFUNCTION("SPLIT(B297,""T""""Z"")"),41711.0)</f>
        <v>41711</v>
      </c>
      <c r="J297" s="8">
        <f>IFERROR(__xludf.DUMMYFUNCTION("""COMPUTED_VALUE"""),0.9345833333333333)</f>
        <v>0.9345833333</v>
      </c>
      <c r="K297" s="9">
        <f t="shared" si="1"/>
        <v>8</v>
      </c>
      <c r="L297" s="7">
        <f>IFERROR(__xludf.DUMMYFUNCTION("SPLIT(C297,""T""""Z"")"),44798.0)</f>
        <v>44798</v>
      </c>
      <c r="M297" s="8">
        <f>IFERROR(__xludf.DUMMYFUNCTION("""COMPUTED_VALUE"""),0.5044907407407407)</f>
        <v>0.5044907407</v>
      </c>
      <c r="N297" s="10">
        <f t="shared" si="2"/>
        <v>132.1077778</v>
      </c>
      <c r="O297" s="11">
        <f t="shared" si="3"/>
        <v>0.9196976105</v>
      </c>
    </row>
    <row r="298">
      <c r="A298" s="1" t="s">
        <v>922</v>
      </c>
      <c r="B298" s="1" t="s">
        <v>923</v>
      </c>
      <c r="C298" s="1" t="s">
        <v>924</v>
      </c>
      <c r="D298" s="1">
        <v>268.0</v>
      </c>
      <c r="E298" s="1" t="s">
        <v>48</v>
      </c>
      <c r="F298" s="1">
        <v>1530.0</v>
      </c>
      <c r="G298" s="1">
        <v>4817.0</v>
      </c>
      <c r="H298" s="1">
        <v>4493.0</v>
      </c>
      <c r="I298" s="7">
        <f>IFERROR(__xludf.DUMMYFUNCTION("SPLIT(B298,""T""""Z"")"),40312.0)</f>
        <v>40312</v>
      </c>
      <c r="J298" s="8">
        <f>IFERROR(__xludf.DUMMYFUNCTION("""COMPUTED_VALUE"""),0.7813657407407407)</f>
        <v>0.7813657407</v>
      </c>
      <c r="K298" s="9">
        <f t="shared" si="1"/>
        <v>12</v>
      </c>
      <c r="L298" s="7">
        <f>IFERROR(__xludf.DUMMYFUNCTION("SPLIT(C298,""T""""Z"")"),44798.0)</f>
        <v>44798</v>
      </c>
      <c r="M298" s="8">
        <f>IFERROR(__xludf.DUMMYFUNCTION("""COMPUTED_VALUE"""),0.47019675925925924)</f>
        <v>0.4701967593</v>
      </c>
      <c r="N298" s="10">
        <f t="shared" si="2"/>
        <v>131.2847222</v>
      </c>
      <c r="O298" s="11">
        <f t="shared" si="3"/>
        <v>0.9327382188</v>
      </c>
    </row>
    <row r="299">
      <c r="A299" s="1" t="s">
        <v>925</v>
      </c>
      <c r="B299" s="1" t="s">
        <v>926</v>
      </c>
      <c r="C299" s="1" t="s">
        <v>927</v>
      </c>
      <c r="D299" s="1">
        <v>2.0</v>
      </c>
      <c r="E299" s="1" t="s">
        <v>38</v>
      </c>
      <c r="F299" s="1">
        <v>468.0</v>
      </c>
      <c r="G299" s="1">
        <v>103.0</v>
      </c>
      <c r="H299" s="1">
        <v>101.0</v>
      </c>
      <c r="I299" s="7">
        <f>IFERROR(__xludf.DUMMYFUNCTION("SPLIT(B299,""T""""Z"")"),42791.0)</f>
        <v>42791</v>
      </c>
      <c r="J299" s="8">
        <f>IFERROR(__xludf.DUMMYFUNCTION("""COMPUTED_VALUE"""),0.37016203703703704)</f>
        <v>0.370162037</v>
      </c>
      <c r="K299" s="9">
        <f t="shared" si="1"/>
        <v>5</v>
      </c>
      <c r="L299" s="7">
        <f>IFERROR(__xludf.DUMMYFUNCTION("SPLIT(C299,""T""""Z"")"),44798.0)</f>
        <v>44798</v>
      </c>
      <c r="M299" s="8">
        <f>IFERROR(__xludf.DUMMYFUNCTION("""COMPUTED_VALUE"""),0.5851504629629629)</f>
        <v>0.585150463</v>
      </c>
      <c r="N299" s="10">
        <f t="shared" si="2"/>
        <v>134.0436111</v>
      </c>
      <c r="O299" s="11">
        <f t="shared" si="3"/>
        <v>0.9805825243</v>
      </c>
    </row>
    <row r="300">
      <c r="A300" s="1" t="s">
        <v>928</v>
      </c>
      <c r="B300" s="1" t="s">
        <v>929</v>
      </c>
      <c r="C300" s="1" t="s">
        <v>930</v>
      </c>
      <c r="D300" s="1">
        <v>52.0</v>
      </c>
      <c r="E300" s="1" t="s">
        <v>48</v>
      </c>
      <c r="F300" s="1">
        <v>95.0</v>
      </c>
      <c r="G300" s="1">
        <v>264.0</v>
      </c>
      <c r="H300" s="1">
        <v>255.0</v>
      </c>
      <c r="I300" s="7">
        <f>IFERROR(__xludf.DUMMYFUNCTION("SPLIT(B300,""T""""Z"")"),44321.0)</f>
        <v>44321</v>
      </c>
      <c r="J300" s="8">
        <f>IFERROR(__xludf.DUMMYFUNCTION("""COMPUTED_VALUE"""),0.24306712962962962)</f>
        <v>0.2430671296</v>
      </c>
      <c r="K300" s="9">
        <f t="shared" si="1"/>
        <v>1</v>
      </c>
      <c r="L300" s="7">
        <f>IFERROR(__xludf.DUMMYFUNCTION("SPLIT(C300,""T""""Z"")"),44798.0)</f>
        <v>44798</v>
      </c>
      <c r="M300" s="8">
        <f>IFERROR(__xludf.DUMMYFUNCTION("""COMPUTED_VALUE"""),0.5797222222222222)</f>
        <v>0.5797222222</v>
      </c>
      <c r="N300" s="10">
        <f t="shared" si="2"/>
        <v>133.9133333</v>
      </c>
      <c r="O300" s="11">
        <f t="shared" si="3"/>
        <v>0.9659090909</v>
      </c>
    </row>
    <row r="301">
      <c r="A301" s="1" t="s">
        <v>931</v>
      </c>
      <c r="B301" s="1" t="s">
        <v>932</v>
      </c>
      <c r="C301" s="1" t="s">
        <v>933</v>
      </c>
      <c r="D301" s="1">
        <v>0.0</v>
      </c>
      <c r="E301" s="1" t="s">
        <v>934</v>
      </c>
      <c r="F301" s="1">
        <v>5.0</v>
      </c>
      <c r="G301" s="1">
        <v>0.0</v>
      </c>
      <c r="H301" s="1">
        <v>0.0</v>
      </c>
      <c r="I301" s="7">
        <f>IFERROR(__xludf.DUMMYFUNCTION("SPLIT(B301,""T""""Z"")"),41695.0)</f>
        <v>41695</v>
      </c>
      <c r="J301" s="8">
        <f>IFERROR(__xludf.DUMMYFUNCTION("""COMPUTED_VALUE"""),0.3334259259259259)</f>
        <v>0.3334259259</v>
      </c>
      <c r="K301" s="9">
        <f t="shared" si="1"/>
        <v>8</v>
      </c>
      <c r="L301" s="7">
        <f>IFERROR(__xludf.DUMMYFUNCTION("SPLIT(C301,""T""""Z"")"),44798.0)</f>
        <v>44798</v>
      </c>
      <c r="M301" s="8">
        <f>IFERROR(__xludf.DUMMYFUNCTION("""COMPUTED_VALUE"""),0.5403009259259259)</f>
        <v>0.5403009259</v>
      </c>
      <c r="N301" s="10">
        <f t="shared" si="2"/>
        <v>132.9672222</v>
      </c>
      <c r="O301" s="11">
        <f t="shared" si="3"/>
        <v>0</v>
      </c>
    </row>
    <row r="302">
      <c r="A302" s="1" t="s">
        <v>935</v>
      </c>
      <c r="B302" s="1" t="s">
        <v>936</v>
      </c>
      <c r="C302" s="1" t="s">
        <v>937</v>
      </c>
      <c r="D302" s="1">
        <v>69.0</v>
      </c>
      <c r="E302" s="1" t="s">
        <v>48</v>
      </c>
      <c r="F302" s="1">
        <v>4333.0</v>
      </c>
      <c r="G302" s="1">
        <v>9687.0</v>
      </c>
      <c r="H302" s="1">
        <v>7067.0</v>
      </c>
      <c r="I302" s="7">
        <f>IFERROR(__xludf.DUMMYFUNCTION("SPLIT(B302,""T""""Z"")"),40884.0)</f>
        <v>40884</v>
      </c>
      <c r="J302" s="8">
        <f>IFERROR(__xludf.DUMMYFUNCTION("""COMPUTED_VALUE"""),0.8851851851851852)</f>
        <v>0.8851851852</v>
      </c>
      <c r="K302" s="9">
        <f t="shared" si="1"/>
        <v>10</v>
      </c>
      <c r="L302" s="7">
        <f>IFERROR(__xludf.DUMMYFUNCTION("SPLIT(C302,""T""""Z"")"),44798.0)</f>
        <v>44798</v>
      </c>
      <c r="M302" s="8">
        <f>IFERROR(__xludf.DUMMYFUNCTION("""COMPUTED_VALUE"""),0.13386574074074073)</f>
        <v>0.1338657407</v>
      </c>
      <c r="N302" s="10">
        <f t="shared" si="2"/>
        <v>123.2127778</v>
      </c>
      <c r="O302" s="11">
        <f t="shared" si="3"/>
        <v>0.7295344276</v>
      </c>
    </row>
    <row r="303">
      <c r="A303" s="1" t="s">
        <v>938</v>
      </c>
      <c r="B303" s="1" t="s">
        <v>939</v>
      </c>
      <c r="C303" s="1" t="s">
        <v>940</v>
      </c>
      <c r="D303" s="1">
        <v>14.0</v>
      </c>
      <c r="E303" s="1" t="s">
        <v>48</v>
      </c>
      <c r="F303" s="1">
        <v>305.0</v>
      </c>
      <c r="G303" s="1">
        <v>603.0</v>
      </c>
      <c r="H303" s="1">
        <v>600.0</v>
      </c>
      <c r="I303" s="7">
        <f>IFERROR(__xludf.DUMMYFUNCTION("SPLIT(B303,""T""""Z"")"),41591.0)</f>
        <v>41591</v>
      </c>
      <c r="J303" s="8">
        <f>IFERROR(__xludf.DUMMYFUNCTION("""COMPUTED_VALUE"""),0.7251388888888889)</f>
        <v>0.7251388889</v>
      </c>
      <c r="K303" s="9">
        <f t="shared" si="1"/>
        <v>8</v>
      </c>
      <c r="L303" s="7">
        <f>IFERROR(__xludf.DUMMYFUNCTION("SPLIT(C303,""T""""Z"")"),44798.0)</f>
        <v>44798</v>
      </c>
      <c r="M303" s="8">
        <f>IFERROR(__xludf.DUMMYFUNCTION("""COMPUTED_VALUE"""),0.5688888888888889)</f>
        <v>0.5688888889</v>
      </c>
      <c r="N303" s="10">
        <f t="shared" si="2"/>
        <v>133.6533333</v>
      </c>
      <c r="O303" s="11">
        <f t="shared" si="3"/>
        <v>0.9950248756</v>
      </c>
    </row>
    <row r="304">
      <c r="A304" s="1" t="s">
        <v>941</v>
      </c>
      <c r="B304" s="1" t="s">
        <v>942</v>
      </c>
      <c r="C304" s="1" t="s">
        <v>943</v>
      </c>
      <c r="D304" s="1">
        <v>82.0</v>
      </c>
      <c r="E304" s="1" t="s">
        <v>48</v>
      </c>
      <c r="F304" s="1">
        <v>223.0</v>
      </c>
      <c r="G304" s="1">
        <v>3073.0</v>
      </c>
      <c r="H304" s="1">
        <v>1895.0</v>
      </c>
      <c r="I304" s="7">
        <f>IFERROR(__xludf.DUMMYFUNCTION("SPLIT(B304,""T""""Z"")"),41120.0)</f>
        <v>41120</v>
      </c>
      <c r="J304" s="8">
        <f>IFERROR(__xludf.DUMMYFUNCTION("""COMPUTED_VALUE"""),0.9745138888888889)</f>
        <v>0.9745138889</v>
      </c>
      <c r="K304" s="9">
        <f t="shared" si="1"/>
        <v>10</v>
      </c>
      <c r="L304" s="7">
        <f>IFERROR(__xludf.DUMMYFUNCTION("SPLIT(C304,""T""""Z"")"),44798.0)</f>
        <v>44798</v>
      </c>
      <c r="M304" s="8">
        <f>IFERROR(__xludf.DUMMYFUNCTION("""COMPUTED_VALUE"""),0.5951736111111111)</f>
        <v>0.5951736111</v>
      </c>
      <c r="N304" s="10">
        <f t="shared" si="2"/>
        <v>134.2841667</v>
      </c>
      <c r="O304" s="11">
        <f t="shared" si="3"/>
        <v>0.6166612431</v>
      </c>
    </row>
    <row r="305">
      <c r="A305" s="1" t="s">
        <v>944</v>
      </c>
      <c r="B305" s="1" t="s">
        <v>945</v>
      </c>
      <c r="C305" s="1" t="s">
        <v>946</v>
      </c>
      <c r="D305" s="1">
        <v>185.0</v>
      </c>
      <c r="E305" s="1" t="s">
        <v>48</v>
      </c>
      <c r="F305" s="1">
        <v>676.0</v>
      </c>
      <c r="G305" s="1">
        <v>2278.0</v>
      </c>
      <c r="H305" s="1">
        <v>1906.0</v>
      </c>
      <c r="I305" s="7">
        <f>IFERROR(__xludf.DUMMYFUNCTION("SPLIT(B305,""T""""Z"")"),42342.0)</f>
        <v>42342</v>
      </c>
      <c r="J305" s="8">
        <f>IFERROR(__xludf.DUMMYFUNCTION("""COMPUTED_VALUE"""),0.40063657407407405)</f>
        <v>0.4006365741</v>
      </c>
      <c r="K305" s="9">
        <f t="shared" si="1"/>
        <v>6</v>
      </c>
      <c r="L305" s="7">
        <f>IFERROR(__xludf.DUMMYFUNCTION("SPLIT(C305,""T""""Z"")"),44798.0)</f>
        <v>44798</v>
      </c>
      <c r="M305" s="8">
        <f>IFERROR(__xludf.DUMMYFUNCTION("""COMPUTED_VALUE"""),0.4954513888888889)</f>
        <v>0.4954513889</v>
      </c>
      <c r="N305" s="10">
        <f t="shared" si="2"/>
        <v>131.8908333</v>
      </c>
      <c r="O305" s="11">
        <f t="shared" si="3"/>
        <v>0.8366988586</v>
      </c>
    </row>
    <row r="306">
      <c r="A306" s="1" t="s">
        <v>947</v>
      </c>
      <c r="B306" s="1" t="s">
        <v>948</v>
      </c>
      <c r="C306" s="1" t="s">
        <v>949</v>
      </c>
      <c r="D306" s="1">
        <v>24.0</v>
      </c>
      <c r="E306" s="1" t="s">
        <v>124</v>
      </c>
      <c r="F306" s="1">
        <v>115.0</v>
      </c>
      <c r="G306" s="1">
        <v>260.0</v>
      </c>
      <c r="H306" s="1">
        <v>144.0</v>
      </c>
      <c r="I306" s="7">
        <f>IFERROR(__xludf.DUMMYFUNCTION("SPLIT(B306,""T""""Z"")"),43233.0)</f>
        <v>43233</v>
      </c>
      <c r="J306" s="8">
        <f>IFERROR(__xludf.DUMMYFUNCTION("""COMPUTED_VALUE"""),0.6555671296296296)</f>
        <v>0.6555671296</v>
      </c>
      <c r="K306" s="9">
        <f t="shared" si="1"/>
        <v>4</v>
      </c>
      <c r="L306" s="7">
        <f>IFERROR(__xludf.DUMMYFUNCTION("SPLIT(C306,""T""""Z"")"),44798.0)</f>
        <v>44798</v>
      </c>
      <c r="M306" s="8">
        <f>IFERROR(__xludf.DUMMYFUNCTION("""COMPUTED_VALUE"""),0.6091087962962963)</f>
        <v>0.6091087963</v>
      </c>
      <c r="N306" s="10">
        <f t="shared" si="2"/>
        <v>134.6186111</v>
      </c>
      <c r="O306" s="11">
        <f t="shared" si="3"/>
        <v>0.5538461538</v>
      </c>
    </row>
    <row r="307">
      <c r="A307" s="1" t="s">
        <v>950</v>
      </c>
      <c r="B307" s="1" t="s">
        <v>951</v>
      </c>
      <c r="C307" s="1" t="s">
        <v>952</v>
      </c>
      <c r="D307" s="1">
        <v>40.0</v>
      </c>
      <c r="E307" s="1" t="s">
        <v>953</v>
      </c>
      <c r="F307" s="1">
        <v>709.0</v>
      </c>
      <c r="G307" s="1">
        <v>3137.0</v>
      </c>
      <c r="H307" s="1">
        <v>3059.0</v>
      </c>
      <c r="I307" s="7">
        <f>IFERROR(__xludf.DUMMYFUNCTION("SPLIT(B307,""T""""Z"")"),40694.0)</f>
        <v>40694</v>
      </c>
      <c r="J307" s="8">
        <f>IFERROR(__xludf.DUMMYFUNCTION("""COMPUTED_VALUE"""),0.8949537037037038)</f>
        <v>0.8949537037</v>
      </c>
      <c r="K307" s="9">
        <f t="shared" si="1"/>
        <v>11</v>
      </c>
      <c r="L307" s="7">
        <f>IFERROR(__xludf.DUMMYFUNCTION("SPLIT(C307,""T""""Z"")"),44798.0)</f>
        <v>44798</v>
      </c>
      <c r="M307" s="8">
        <f>IFERROR(__xludf.DUMMYFUNCTION("""COMPUTED_VALUE"""),0.5398032407407407)</f>
        <v>0.5398032407</v>
      </c>
      <c r="N307" s="10">
        <f t="shared" si="2"/>
        <v>132.9552778</v>
      </c>
      <c r="O307" s="11">
        <f t="shared" si="3"/>
        <v>0.9751354798</v>
      </c>
    </row>
    <row r="308">
      <c r="A308" s="1" t="s">
        <v>954</v>
      </c>
      <c r="B308" s="1" t="s">
        <v>955</v>
      </c>
      <c r="C308" s="1" t="s">
        <v>956</v>
      </c>
      <c r="D308" s="1">
        <v>0.0</v>
      </c>
      <c r="E308" s="13" t="s">
        <v>22</v>
      </c>
      <c r="F308" s="1">
        <v>614.0</v>
      </c>
      <c r="G308" s="1">
        <v>113.0</v>
      </c>
      <c r="H308" s="1">
        <v>110.0</v>
      </c>
      <c r="I308" s="7">
        <f>IFERROR(__xludf.DUMMYFUNCTION("SPLIT(B308,""T""""Z"")"),41829.0)</f>
        <v>41829</v>
      </c>
      <c r="J308" s="8">
        <f>IFERROR(__xludf.DUMMYFUNCTION("""COMPUTED_VALUE"""),0.42549768518518516)</f>
        <v>0.4254976852</v>
      </c>
      <c r="K308" s="9">
        <f t="shared" si="1"/>
        <v>8</v>
      </c>
      <c r="L308" s="7">
        <f>IFERROR(__xludf.DUMMYFUNCTION("SPLIT(C308,""T""""Z"")"),44798.0)</f>
        <v>44798</v>
      </c>
      <c r="M308" s="8">
        <f>IFERROR(__xludf.DUMMYFUNCTION("""COMPUTED_VALUE"""),0.582488425925926)</f>
        <v>0.5824884259</v>
      </c>
      <c r="N308" s="12">
        <f t="shared" si="2"/>
        <v>133.9797222</v>
      </c>
      <c r="O308" s="11">
        <f t="shared" si="3"/>
        <v>0.9734513274</v>
      </c>
    </row>
    <row r="309">
      <c r="A309" s="1" t="s">
        <v>957</v>
      </c>
      <c r="B309" s="1" t="s">
        <v>958</v>
      </c>
      <c r="C309" s="1" t="s">
        <v>959</v>
      </c>
      <c r="D309" s="1">
        <v>2.0</v>
      </c>
      <c r="E309" s="1" t="s">
        <v>38</v>
      </c>
      <c r="F309" s="1">
        <v>70.0</v>
      </c>
      <c r="G309" s="1">
        <v>0.0</v>
      </c>
      <c r="H309" s="1">
        <v>0.0</v>
      </c>
      <c r="I309" s="7">
        <f>IFERROR(__xludf.DUMMYFUNCTION("SPLIT(B309,""T""""Z"")"),41019.0)</f>
        <v>41019</v>
      </c>
      <c r="J309" s="8">
        <f>IFERROR(__xludf.DUMMYFUNCTION("""COMPUTED_VALUE"""),0.5491782407407407)</f>
        <v>0.5491782407</v>
      </c>
      <c r="K309" s="9">
        <f t="shared" si="1"/>
        <v>10</v>
      </c>
      <c r="L309" s="7">
        <f>IFERROR(__xludf.DUMMYFUNCTION("SPLIT(C309,""T""""Z"")"),44798.0)</f>
        <v>44798</v>
      </c>
      <c r="M309" s="8">
        <f>IFERROR(__xludf.DUMMYFUNCTION("""COMPUTED_VALUE"""),0.38849537037037035)</f>
        <v>0.3884953704</v>
      </c>
      <c r="N309" s="10">
        <f t="shared" si="2"/>
        <v>129.3238889</v>
      </c>
      <c r="O309" s="11">
        <f t="shared" si="3"/>
        <v>0</v>
      </c>
    </row>
    <row r="310">
      <c r="A310" s="1" t="s">
        <v>960</v>
      </c>
      <c r="B310" s="1" t="s">
        <v>961</v>
      </c>
      <c r="C310" s="1" t="s">
        <v>962</v>
      </c>
      <c r="D310" s="1">
        <v>264.0</v>
      </c>
      <c r="E310" s="1" t="s">
        <v>439</v>
      </c>
      <c r="F310" s="1">
        <v>8198.0</v>
      </c>
      <c r="G310" s="1">
        <v>3623.0</v>
      </c>
      <c r="H310" s="1">
        <v>3594.0</v>
      </c>
      <c r="I310" s="7">
        <f>IFERROR(__xludf.DUMMYFUNCTION("SPLIT(B310,""T""""Z"")"),42435.0)</f>
        <v>42435</v>
      </c>
      <c r="J310" s="8">
        <f>IFERROR(__xludf.DUMMYFUNCTION("""COMPUTED_VALUE"""),0.21432870370370372)</f>
        <v>0.2143287037</v>
      </c>
      <c r="K310" s="9">
        <f t="shared" si="1"/>
        <v>6</v>
      </c>
      <c r="L310" s="7">
        <f>IFERROR(__xludf.DUMMYFUNCTION("SPLIT(C310,""T""""Z"")"),44798.0)</f>
        <v>44798</v>
      </c>
      <c r="M310" s="8">
        <f>IFERROR(__xludf.DUMMYFUNCTION("""COMPUTED_VALUE"""),0.549074074074074)</f>
        <v>0.5490740741</v>
      </c>
      <c r="N310" s="10">
        <f t="shared" si="2"/>
        <v>133.1777778</v>
      </c>
      <c r="O310" s="11">
        <f t="shared" si="3"/>
        <v>0.9919955838</v>
      </c>
    </row>
    <row r="311">
      <c r="A311" s="1" t="s">
        <v>963</v>
      </c>
      <c r="B311" s="1" t="s">
        <v>964</v>
      </c>
      <c r="C311" s="1" t="s">
        <v>965</v>
      </c>
      <c r="D311" s="1">
        <v>14.0</v>
      </c>
      <c r="E311" s="1" t="s">
        <v>48</v>
      </c>
      <c r="F311" s="1">
        <v>144.0</v>
      </c>
      <c r="G311" s="1">
        <v>1037.0</v>
      </c>
      <c r="H311" s="1">
        <v>483.0</v>
      </c>
      <c r="I311" s="7">
        <f>IFERROR(__xludf.DUMMYFUNCTION("SPLIT(B311,""T""""Z"")"),43452.0)</f>
        <v>43452</v>
      </c>
      <c r="J311" s="8">
        <f>IFERROR(__xludf.DUMMYFUNCTION("""COMPUTED_VALUE"""),0.48964120370370373)</f>
        <v>0.4896412037</v>
      </c>
      <c r="K311" s="9">
        <f t="shared" si="1"/>
        <v>3</v>
      </c>
      <c r="L311" s="7">
        <f>IFERROR(__xludf.DUMMYFUNCTION("SPLIT(C311,""T""""Z"")"),44798.0)</f>
        <v>44798</v>
      </c>
      <c r="M311" s="8">
        <f>IFERROR(__xludf.DUMMYFUNCTION("""COMPUTED_VALUE"""),0.5915625)</f>
        <v>0.5915625</v>
      </c>
      <c r="N311" s="10">
        <f t="shared" si="2"/>
        <v>134.1975</v>
      </c>
      <c r="O311" s="11">
        <f t="shared" si="3"/>
        <v>0.4657666345</v>
      </c>
    </row>
    <row r="312">
      <c r="A312" s="1" t="s">
        <v>966</v>
      </c>
      <c r="B312" s="1" t="s">
        <v>967</v>
      </c>
      <c r="C312" s="1" t="s">
        <v>968</v>
      </c>
      <c r="D312" s="1">
        <v>43.0</v>
      </c>
      <c r="E312" s="1" t="s">
        <v>95</v>
      </c>
      <c r="F312" s="1">
        <v>552.0</v>
      </c>
      <c r="G312" s="1">
        <v>1463.0</v>
      </c>
      <c r="H312" s="1">
        <v>1435.0</v>
      </c>
      <c r="I312" s="7">
        <f>IFERROR(__xludf.DUMMYFUNCTION("SPLIT(B312,""T""""Z"")"),42649.0)</f>
        <v>42649</v>
      </c>
      <c r="J312" s="8">
        <f>IFERROR(__xludf.DUMMYFUNCTION("""COMPUTED_VALUE"""),0.9463194444444445)</f>
        <v>0.9463194444</v>
      </c>
      <c r="K312" s="9">
        <f t="shared" si="1"/>
        <v>5</v>
      </c>
      <c r="L312" s="7">
        <f>IFERROR(__xludf.DUMMYFUNCTION("SPLIT(C312,""T""""Z"")"),44798.0)</f>
        <v>44798</v>
      </c>
      <c r="M312" s="8">
        <f>IFERROR(__xludf.DUMMYFUNCTION("""COMPUTED_VALUE"""),0.5892824074074074)</f>
        <v>0.5892824074</v>
      </c>
      <c r="N312" s="10">
        <f t="shared" si="2"/>
        <v>134.1427778</v>
      </c>
      <c r="O312" s="11">
        <f t="shared" si="3"/>
        <v>0.980861244</v>
      </c>
    </row>
    <row r="313">
      <c r="A313" s="1" t="s">
        <v>969</v>
      </c>
      <c r="B313" s="1" t="s">
        <v>970</v>
      </c>
      <c r="C313" s="1" t="s">
        <v>971</v>
      </c>
      <c r="D313" s="1">
        <v>0.0</v>
      </c>
      <c r="E313" s="1" t="s">
        <v>38</v>
      </c>
      <c r="F313" s="1">
        <v>28.0</v>
      </c>
      <c r="G313" s="1">
        <v>49.0</v>
      </c>
      <c r="H313" s="1">
        <v>4.0</v>
      </c>
      <c r="I313" s="7">
        <f>IFERROR(__xludf.DUMMYFUNCTION("SPLIT(B313,""T""""Z"")"),42657.0)</f>
        <v>42657</v>
      </c>
      <c r="J313" s="8">
        <f>IFERROR(__xludf.DUMMYFUNCTION("""COMPUTED_VALUE"""),0.49291666666666667)</f>
        <v>0.4929166667</v>
      </c>
      <c r="K313" s="9">
        <f t="shared" si="1"/>
        <v>5</v>
      </c>
      <c r="L313" s="7">
        <f>IFERROR(__xludf.DUMMYFUNCTION("SPLIT(C313,""T""""Z"")"),44798.0)</f>
        <v>44798</v>
      </c>
      <c r="M313" s="8">
        <f>IFERROR(__xludf.DUMMYFUNCTION("""COMPUTED_VALUE"""),0.5965972222222222)</f>
        <v>0.5965972222</v>
      </c>
      <c r="N313" s="10">
        <f t="shared" si="2"/>
        <v>134.3183333</v>
      </c>
      <c r="O313" s="11">
        <f t="shared" si="3"/>
        <v>0.08163265306</v>
      </c>
    </row>
    <row r="314">
      <c r="A314" s="1" t="s">
        <v>972</v>
      </c>
      <c r="B314" s="1" t="s">
        <v>973</v>
      </c>
      <c r="C314" s="1" t="s">
        <v>974</v>
      </c>
      <c r="D314" s="1">
        <v>0.0</v>
      </c>
      <c r="E314" s="1" t="s">
        <v>48</v>
      </c>
      <c r="F314" s="1">
        <v>449.0</v>
      </c>
      <c r="G314" s="1">
        <v>870.0</v>
      </c>
      <c r="H314" s="1">
        <v>843.0</v>
      </c>
      <c r="I314" s="7">
        <f>IFERROR(__xludf.DUMMYFUNCTION("SPLIT(B314,""T""""Z"")"),41475.0)</f>
        <v>41475</v>
      </c>
      <c r="J314" s="8">
        <f>IFERROR(__xludf.DUMMYFUNCTION("""COMPUTED_VALUE"""),0.7873263888888888)</f>
        <v>0.7873263889</v>
      </c>
      <c r="K314" s="9">
        <f t="shared" si="1"/>
        <v>9</v>
      </c>
      <c r="L314" s="7">
        <f>IFERROR(__xludf.DUMMYFUNCTION("SPLIT(C314,""T""""Z"")"),44798.0)</f>
        <v>44798</v>
      </c>
      <c r="M314" s="8">
        <f>IFERROR(__xludf.DUMMYFUNCTION("""COMPUTED_VALUE"""),0.4852199074074074)</f>
        <v>0.4852199074</v>
      </c>
      <c r="N314" s="10">
        <f t="shared" si="2"/>
        <v>131.6452778</v>
      </c>
      <c r="O314" s="11">
        <f t="shared" si="3"/>
        <v>0.9689655172</v>
      </c>
    </row>
    <row r="315">
      <c r="A315" s="1" t="s">
        <v>975</v>
      </c>
      <c r="B315" s="1" t="s">
        <v>976</v>
      </c>
      <c r="C315" s="1" t="s">
        <v>21</v>
      </c>
      <c r="D315" s="1">
        <v>191.0</v>
      </c>
      <c r="E315" s="1" t="s">
        <v>124</v>
      </c>
      <c r="F315" s="1">
        <v>191.0</v>
      </c>
      <c r="G315" s="1">
        <v>2155.0</v>
      </c>
      <c r="H315" s="1">
        <v>1878.0</v>
      </c>
      <c r="I315" s="7">
        <f>IFERROR(__xludf.DUMMYFUNCTION("SPLIT(B315,""T""""Z"")"),42535.0)</f>
        <v>42535</v>
      </c>
      <c r="J315" s="8">
        <f>IFERROR(__xludf.DUMMYFUNCTION("""COMPUTED_VALUE"""),0.6728009259259259)</f>
        <v>0.6728009259</v>
      </c>
      <c r="K315" s="9">
        <f t="shared" si="1"/>
        <v>6</v>
      </c>
      <c r="L315" s="7">
        <f>IFERROR(__xludf.DUMMYFUNCTION("SPLIT(C315,""T""""Z"")"),44798.0)</f>
        <v>44798</v>
      </c>
      <c r="M315" s="8">
        <f>IFERROR(__xludf.DUMMYFUNCTION("""COMPUTED_VALUE"""),0.540162037037037)</f>
        <v>0.540162037</v>
      </c>
      <c r="N315" s="10">
        <f t="shared" si="2"/>
        <v>132.9638889</v>
      </c>
      <c r="O315" s="11">
        <f t="shared" si="3"/>
        <v>0.8714617169</v>
      </c>
    </row>
    <row r="316">
      <c r="A316" s="1" t="s">
        <v>977</v>
      </c>
      <c r="B316" s="1" t="s">
        <v>978</v>
      </c>
      <c r="C316" s="1" t="s">
        <v>979</v>
      </c>
      <c r="D316" s="1">
        <v>39.0</v>
      </c>
      <c r="E316" s="1" t="s">
        <v>95</v>
      </c>
      <c r="F316" s="1">
        <v>407.0</v>
      </c>
      <c r="G316" s="1">
        <v>4142.0</v>
      </c>
      <c r="H316" s="1">
        <v>3758.0</v>
      </c>
      <c r="I316" s="7">
        <f>IFERROR(__xludf.DUMMYFUNCTION("SPLIT(B316,""T""""Z"")"),41463.0)</f>
        <v>41463</v>
      </c>
      <c r="J316" s="8">
        <f>IFERROR(__xludf.DUMMYFUNCTION("""COMPUTED_VALUE"""),0.9531597222222222)</f>
        <v>0.9531597222</v>
      </c>
      <c r="K316" s="9">
        <f t="shared" si="1"/>
        <v>9</v>
      </c>
      <c r="L316" s="7">
        <f>IFERROR(__xludf.DUMMYFUNCTION("SPLIT(C316,""T""""Z"")"),44798.0)</f>
        <v>44798</v>
      </c>
      <c r="M316" s="8">
        <f>IFERROR(__xludf.DUMMYFUNCTION("""COMPUTED_VALUE"""),0.35811342592592593)</f>
        <v>0.3581134259</v>
      </c>
      <c r="N316" s="10">
        <f t="shared" si="2"/>
        <v>128.5947222</v>
      </c>
      <c r="O316" s="11">
        <f t="shared" si="3"/>
        <v>0.9072911637</v>
      </c>
    </row>
    <row r="317">
      <c r="A317" s="1" t="s">
        <v>980</v>
      </c>
      <c r="B317" s="1" t="s">
        <v>981</v>
      </c>
      <c r="C317" s="1" t="s">
        <v>982</v>
      </c>
      <c r="D317" s="1">
        <v>684.0</v>
      </c>
      <c r="E317" s="1" t="s">
        <v>18</v>
      </c>
      <c r="F317" s="1">
        <v>8952.0</v>
      </c>
      <c r="G317" s="1">
        <v>14501.0</v>
      </c>
      <c r="H317" s="1">
        <v>11664.0</v>
      </c>
      <c r="I317" s="7">
        <f>IFERROR(__xludf.DUMMYFUNCTION("SPLIT(B317,""T""""Z"")"),42143.0)</f>
        <v>42143</v>
      </c>
      <c r="J317" s="8">
        <f>IFERROR(__xludf.DUMMYFUNCTION("""COMPUTED_VALUE"""),0.31677083333333333)</f>
        <v>0.3167708333</v>
      </c>
      <c r="K317" s="9">
        <f t="shared" si="1"/>
        <v>7</v>
      </c>
      <c r="L317" s="7">
        <f>IFERROR(__xludf.DUMMYFUNCTION("SPLIT(C317,""T""""Z"")"),44798.0)</f>
        <v>44798</v>
      </c>
      <c r="M317" s="8">
        <f>IFERROR(__xludf.DUMMYFUNCTION("""COMPUTED_VALUE"""),0.306087962962963)</f>
        <v>0.306087963</v>
      </c>
      <c r="N317" s="10">
        <f t="shared" si="2"/>
        <v>127.3461111</v>
      </c>
      <c r="O317" s="11">
        <f t="shared" si="3"/>
        <v>0.8043583201</v>
      </c>
    </row>
    <row r="318">
      <c r="A318" s="1" t="s">
        <v>983</v>
      </c>
      <c r="B318" s="1" t="s">
        <v>984</v>
      </c>
      <c r="C318" s="1" t="s">
        <v>985</v>
      </c>
      <c r="D318" s="1">
        <v>7.0</v>
      </c>
      <c r="E318" s="1" t="s">
        <v>986</v>
      </c>
      <c r="F318" s="1">
        <v>16.0</v>
      </c>
      <c r="G318" s="1">
        <v>197.0</v>
      </c>
      <c r="H318" s="1">
        <v>137.0</v>
      </c>
      <c r="I318" s="7">
        <f>IFERROR(__xludf.DUMMYFUNCTION("SPLIT(B318,""T""""Z"")"),42711.0)</f>
        <v>42711</v>
      </c>
      <c r="J318" s="8">
        <f>IFERROR(__xludf.DUMMYFUNCTION("""COMPUTED_VALUE"""),0.49086805555555557)</f>
        <v>0.4908680556</v>
      </c>
      <c r="K318" s="9">
        <f t="shared" si="1"/>
        <v>5</v>
      </c>
      <c r="L318" s="7">
        <f>IFERROR(__xludf.DUMMYFUNCTION("SPLIT(C318,""T""""Z"")"),44798.0)</f>
        <v>44798</v>
      </c>
      <c r="M318" s="8">
        <f>IFERROR(__xludf.DUMMYFUNCTION("""COMPUTED_VALUE"""),0.41269675925925925)</f>
        <v>0.4126967593</v>
      </c>
      <c r="N318" s="10">
        <f t="shared" si="2"/>
        <v>129.9047222</v>
      </c>
      <c r="O318" s="11">
        <f t="shared" si="3"/>
        <v>0.6954314721</v>
      </c>
    </row>
    <row r="319">
      <c r="A319" s="1" t="s">
        <v>987</v>
      </c>
      <c r="B319" s="1" t="s">
        <v>988</v>
      </c>
      <c r="C319" s="1" t="s">
        <v>989</v>
      </c>
      <c r="D319" s="1">
        <v>14.0</v>
      </c>
      <c r="E319" s="1" t="s">
        <v>52</v>
      </c>
      <c r="F319" s="1">
        <v>1087.0</v>
      </c>
      <c r="G319" s="1">
        <v>4781.0</v>
      </c>
      <c r="H319" s="1">
        <v>3890.0</v>
      </c>
      <c r="I319" s="7">
        <f>IFERROR(__xludf.DUMMYFUNCTION("SPLIT(B319,""T""""Z"")"),41529.0)</f>
        <v>41529</v>
      </c>
      <c r="J319" s="8">
        <f>IFERROR(__xludf.DUMMYFUNCTION("""COMPUTED_VALUE"""),0.7776388888888889)</f>
        <v>0.7776388889</v>
      </c>
      <c r="K319" s="9">
        <f t="shared" si="1"/>
        <v>8</v>
      </c>
      <c r="L319" s="7">
        <f>IFERROR(__xludf.DUMMYFUNCTION("SPLIT(C319,""T""""Z"")"),44798.0)</f>
        <v>44798</v>
      </c>
      <c r="M319" s="8">
        <f>IFERROR(__xludf.DUMMYFUNCTION("""COMPUTED_VALUE"""),0.09399305555555555)</f>
        <v>0.09399305556</v>
      </c>
      <c r="N319" s="10">
        <f t="shared" si="2"/>
        <v>122.2558333</v>
      </c>
      <c r="O319" s="11">
        <f t="shared" si="3"/>
        <v>0.8136373144</v>
      </c>
    </row>
    <row r="320">
      <c r="A320" s="1" t="s">
        <v>990</v>
      </c>
      <c r="B320" s="1" t="s">
        <v>991</v>
      </c>
      <c r="C320" s="1" t="s">
        <v>992</v>
      </c>
      <c r="D320" s="1">
        <v>181.0</v>
      </c>
      <c r="E320" s="1" t="s">
        <v>599</v>
      </c>
      <c r="F320" s="1">
        <v>242.0</v>
      </c>
      <c r="G320" s="1">
        <v>2406.0</v>
      </c>
      <c r="H320" s="1">
        <v>2353.0</v>
      </c>
      <c r="I320" s="7">
        <f>IFERROR(__xludf.DUMMYFUNCTION("SPLIT(B320,""T""""Z"")"),41259.0)</f>
        <v>41259</v>
      </c>
      <c r="J320" s="8">
        <f>IFERROR(__xludf.DUMMYFUNCTION("""COMPUTED_VALUE"""),0.5697800925925925)</f>
        <v>0.5697800926</v>
      </c>
      <c r="K320" s="9">
        <f t="shared" si="1"/>
        <v>9</v>
      </c>
      <c r="L320" s="7">
        <f>IFERROR(__xludf.DUMMYFUNCTION("SPLIT(C320,""T""""Z"")"),44798.0)</f>
        <v>44798</v>
      </c>
      <c r="M320" s="8">
        <f>IFERROR(__xludf.DUMMYFUNCTION("""COMPUTED_VALUE"""),0.39711805555555557)</f>
        <v>0.3971180556</v>
      </c>
      <c r="N320" s="10">
        <f t="shared" si="2"/>
        <v>129.5308333</v>
      </c>
      <c r="O320" s="11">
        <f t="shared" si="3"/>
        <v>0.9779717373</v>
      </c>
    </row>
    <row r="321">
      <c r="A321" s="1" t="s">
        <v>993</v>
      </c>
      <c r="B321" s="1" t="s">
        <v>994</v>
      </c>
      <c r="C321" s="1" t="s">
        <v>995</v>
      </c>
      <c r="D321" s="1">
        <v>122.0</v>
      </c>
      <c r="E321" s="1" t="s">
        <v>996</v>
      </c>
      <c r="F321" s="1">
        <v>3345.0</v>
      </c>
      <c r="G321" s="1">
        <v>3920.0</v>
      </c>
      <c r="H321" s="1">
        <v>3647.0</v>
      </c>
      <c r="I321" s="7">
        <f>IFERROR(__xludf.DUMMYFUNCTION("SPLIT(B321,""T""""Z"")"),41960.0)</f>
        <v>41960</v>
      </c>
      <c r="J321" s="8">
        <f>IFERROR(__xludf.DUMMYFUNCTION("""COMPUTED_VALUE"""),0.9973148148148148)</f>
        <v>0.9973148148</v>
      </c>
      <c r="K321" s="9">
        <f t="shared" si="1"/>
        <v>7</v>
      </c>
      <c r="L321" s="7">
        <f>IFERROR(__xludf.DUMMYFUNCTION("SPLIT(C321,""T""""Z"")"),44798.0)</f>
        <v>44798</v>
      </c>
      <c r="M321" s="8">
        <f>IFERROR(__xludf.DUMMYFUNCTION("""COMPUTED_VALUE"""),0.6065277777777778)</f>
        <v>0.6065277778</v>
      </c>
      <c r="N321" s="10">
        <f t="shared" si="2"/>
        <v>134.5566667</v>
      </c>
      <c r="O321" s="11">
        <f t="shared" si="3"/>
        <v>0.9303571429</v>
      </c>
    </row>
    <row r="322">
      <c r="A322" s="1" t="s">
        <v>997</v>
      </c>
      <c r="B322" s="1" t="s">
        <v>998</v>
      </c>
      <c r="C322" s="1" t="s">
        <v>999</v>
      </c>
      <c r="D322" s="1">
        <v>66.0</v>
      </c>
      <c r="E322" s="1" t="s">
        <v>161</v>
      </c>
      <c r="F322" s="1">
        <v>437.0</v>
      </c>
      <c r="G322" s="1">
        <v>1369.0</v>
      </c>
      <c r="H322" s="1">
        <v>1248.0</v>
      </c>
      <c r="I322" s="7">
        <f>IFERROR(__xludf.DUMMYFUNCTION("SPLIT(B322,""T""""Z"")"),42440.0)</f>
        <v>42440</v>
      </c>
      <c r="J322" s="8">
        <f>IFERROR(__xludf.DUMMYFUNCTION("""COMPUTED_VALUE"""),0.08510416666666666)</f>
        <v>0.08510416667</v>
      </c>
      <c r="K322" s="9">
        <f t="shared" si="1"/>
        <v>6</v>
      </c>
      <c r="L322" s="7">
        <f>IFERROR(__xludf.DUMMYFUNCTION("SPLIT(C322,""T""""Z"")"),44798.0)</f>
        <v>44798</v>
      </c>
      <c r="M322" s="8">
        <f>IFERROR(__xludf.DUMMYFUNCTION("""COMPUTED_VALUE"""),0.607650462962963)</f>
        <v>0.607650463</v>
      </c>
      <c r="N322" s="10">
        <f t="shared" si="2"/>
        <v>134.5836111</v>
      </c>
      <c r="O322" s="11">
        <f t="shared" si="3"/>
        <v>0.911614317</v>
      </c>
    </row>
    <row r="323">
      <c r="A323" s="1" t="s">
        <v>1000</v>
      </c>
      <c r="B323" s="1" t="s">
        <v>1001</v>
      </c>
      <c r="C323" s="1" t="s">
        <v>1002</v>
      </c>
      <c r="D323" s="1">
        <v>0.0</v>
      </c>
      <c r="E323" s="1" t="s">
        <v>88</v>
      </c>
      <c r="F323" s="1">
        <v>0.0</v>
      </c>
      <c r="G323" s="1">
        <v>371.0</v>
      </c>
      <c r="H323" s="1">
        <v>255.0</v>
      </c>
      <c r="I323" s="7">
        <f>IFERROR(__xludf.DUMMYFUNCTION("SPLIT(B323,""T""""Z"")"),40988.0)</f>
        <v>40988</v>
      </c>
      <c r="J323" s="8">
        <f>IFERROR(__xludf.DUMMYFUNCTION("""COMPUTED_VALUE"""),0.46699074074074076)</f>
        <v>0.4669907407</v>
      </c>
      <c r="K323" s="9">
        <f t="shared" si="1"/>
        <v>10</v>
      </c>
      <c r="L323" s="7">
        <f>IFERROR(__xludf.DUMMYFUNCTION("SPLIT(C323,""T""""Z"")"),44798.0)</f>
        <v>44798</v>
      </c>
      <c r="M323" s="8">
        <f>IFERROR(__xludf.DUMMYFUNCTION("""COMPUTED_VALUE"""),0.3857175925925926)</f>
        <v>0.3857175926</v>
      </c>
      <c r="N323" s="10">
        <f t="shared" si="2"/>
        <v>129.2572222</v>
      </c>
      <c r="O323" s="11">
        <f t="shared" si="3"/>
        <v>0.6873315364</v>
      </c>
    </row>
    <row r="324">
      <c r="A324" s="1" t="s">
        <v>1003</v>
      </c>
      <c r="B324" s="1" t="s">
        <v>1004</v>
      </c>
      <c r="C324" s="1" t="s">
        <v>1005</v>
      </c>
      <c r="D324" s="1">
        <v>98.0</v>
      </c>
      <c r="E324" s="1" t="s">
        <v>68</v>
      </c>
      <c r="F324" s="1">
        <v>17.0</v>
      </c>
      <c r="G324" s="1">
        <v>933.0</v>
      </c>
      <c r="H324" s="1">
        <v>781.0</v>
      </c>
      <c r="I324" s="7">
        <f>IFERROR(__xludf.DUMMYFUNCTION("SPLIT(B324,""T""""Z"")"),42880.0)</f>
        <v>42880</v>
      </c>
      <c r="J324" s="8">
        <f>IFERROR(__xludf.DUMMYFUNCTION("""COMPUTED_VALUE"""),0.8740972222222222)</f>
        <v>0.8740972222</v>
      </c>
      <c r="K324" s="9">
        <f t="shared" si="1"/>
        <v>5</v>
      </c>
      <c r="L324" s="7">
        <f>IFERROR(__xludf.DUMMYFUNCTION("SPLIT(C324,""T""""Z"")"),44798.0)</f>
        <v>44798</v>
      </c>
      <c r="M324" s="8">
        <f>IFERROR(__xludf.DUMMYFUNCTION("""COMPUTED_VALUE"""),0.5570717592592592)</f>
        <v>0.5570717593</v>
      </c>
      <c r="N324" s="10">
        <f t="shared" si="2"/>
        <v>133.3697222</v>
      </c>
      <c r="O324" s="11">
        <f t="shared" si="3"/>
        <v>0.8370846731</v>
      </c>
    </row>
    <row r="325">
      <c r="A325" s="1" t="s">
        <v>1006</v>
      </c>
      <c r="B325" s="1" t="s">
        <v>1007</v>
      </c>
      <c r="C325" s="1" t="s">
        <v>1008</v>
      </c>
      <c r="D325" s="1">
        <v>26.0</v>
      </c>
      <c r="E325" s="1" t="s">
        <v>18</v>
      </c>
      <c r="F325" s="1">
        <v>904.0</v>
      </c>
      <c r="G325" s="1">
        <v>8638.0</v>
      </c>
      <c r="H325" s="1">
        <v>8558.0</v>
      </c>
      <c r="I325" s="7">
        <f>IFERROR(__xludf.DUMMYFUNCTION("SPLIT(B325,""T""""Z"")"),42972.0)</f>
        <v>42972</v>
      </c>
      <c r="J325" s="8">
        <f>IFERROR(__xludf.DUMMYFUNCTION("""COMPUTED_VALUE"""),0.4449537037037037)</f>
        <v>0.4449537037</v>
      </c>
      <c r="K325" s="9">
        <f t="shared" si="1"/>
        <v>5</v>
      </c>
      <c r="L325" s="7">
        <f>IFERROR(__xludf.DUMMYFUNCTION("SPLIT(C325,""T""""Z"")"),44798.0)</f>
        <v>44798</v>
      </c>
      <c r="M325" s="8">
        <f>IFERROR(__xludf.DUMMYFUNCTION("""COMPUTED_VALUE"""),0.6077430555555555)</f>
        <v>0.6077430556</v>
      </c>
      <c r="N325" s="10">
        <f t="shared" si="2"/>
        <v>134.5858333</v>
      </c>
      <c r="O325" s="11">
        <f t="shared" si="3"/>
        <v>0.9907385969</v>
      </c>
    </row>
    <row r="326">
      <c r="A326" s="1" t="s">
        <v>1009</v>
      </c>
      <c r="B326" s="1" t="s">
        <v>1010</v>
      </c>
      <c r="C326" s="1" t="s">
        <v>1011</v>
      </c>
      <c r="D326" s="1">
        <v>124.0</v>
      </c>
      <c r="E326" s="1" t="s">
        <v>48</v>
      </c>
      <c r="F326" s="1">
        <v>1502.0</v>
      </c>
      <c r="G326" s="1">
        <v>3950.0</v>
      </c>
      <c r="H326" s="1">
        <v>3788.0</v>
      </c>
      <c r="I326" s="7">
        <f>IFERROR(__xludf.DUMMYFUNCTION("SPLIT(B326,""T""""Z"")"),41376.0)</f>
        <v>41376</v>
      </c>
      <c r="J326" s="8">
        <f>IFERROR(__xludf.DUMMYFUNCTION("""COMPUTED_VALUE"""),0.5193402777777778)</f>
        <v>0.5193402778</v>
      </c>
      <c r="K326" s="9">
        <f t="shared" si="1"/>
        <v>9</v>
      </c>
      <c r="L326" s="7">
        <f>IFERROR(__xludf.DUMMYFUNCTION("SPLIT(C326,""T""""Z"")"),44798.0)</f>
        <v>44798</v>
      </c>
      <c r="M326" s="8">
        <f>IFERROR(__xludf.DUMMYFUNCTION("""COMPUTED_VALUE"""),0.5203009259259259)</f>
        <v>0.5203009259</v>
      </c>
      <c r="N326" s="10">
        <f t="shared" si="2"/>
        <v>132.4872222</v>
      </c>
      <c r="O326" s="11">
        <f t="shared" si="3"/>
        <v>0.9589873418</v>
      </c>
    </row>
    <row r="327">
      <c r="A327" s="1" t="s">
        <v>1012</v>
      </c>
      <c r="B327" s="1" t="s">
        <v>1013</v>
      </c>
      <c r="C327" s="1" t="s">
        <v>1014</v>
      </c>
      <c r="D327" s="1">
        <v>173.0</v>
      </c>
      <c r="E327" s="1" t="s">
        <v>48</v>
      </c>
      <c r="F327" s="1">
        <v>1354.0</v>
      </c>
      <c r="G327" s="1">
        <v>1548.0</v>
      </c>
      <c r="H327" s="1">
        <v>1415.0</v>
      </c>
      <c r="I327" s="7">
        <f>IFERROR(__xludf.DUMMYFUNCTION("SPLIT(B327,""T""""Z"")"),42258.0)</f>
        <v>42258</v>
      </c>
      <c r="J327" s="8">
        <f>IFERROR(__xludf.DUMMYFUNCTION("""COMPUTED_VALUE"""),0.11131944444444444)</f>
        <v>0.1113194444</v>
      </c>
      <c r="K327" s="9">
        <f t="shared" si="1"/>
        <v>6</v>
      </c>
      <c r="L327" s="7">
        <f>IFERROR(__xludf.DUMMYFUNCTION("SPLIT(C327,""T""""Z"")"),44798.0)</f>
        <v>44798</v>
      </c>
      <c r="M327" s="8">
        <f>IFERROR(__xludf.DUMMYFUNCTION("""COMPUTED_VALUE"""),0.567662037037037)</f>
        <v>0.567662037</v>
      </c>
      <c r="N327" s="10">
        <f t="shared" si="2"/>
        <v>133.6238889</v>
      </c>
      <c r="O327" s="11">
        <f t="shared" si="3"/>
        <v>0.9140826873</v>
      </c>
    </row>
    <row r="328">
      <c r="A328" s="1" t="s">
        <v>1015</v>
      </c>
      <c r="B328" s="1" t="s">
        <v>1016</v>
      </c>
      <c r="C328" s="1" t="s">
        <v>1017</v>
      </c>
      <c r="D328" s="1">
        <v>53.0</v>
      </c>
      <c r="E328" s="1" t="s">
        <v>1018</v>
      </c>
      <c r="F328" s="1">
        <v>261.0</v>
      </c>
      <c r="G328" s="1">
        <v>692.0</v>
      </c>
      <c r="H328" s="1">
        <v>355.0</v>
      </c>
      <c r="I328" s="7">
        <f>IFERROR(__xludf.DUMMYFUNCTION("SPLIT(B328,""T""""Z"")"),44300.0)</f>
        <v>44300</v>
      </c>
      <c r="J328" s="8">
        <f>IFERROR(__xludf.DUMMYFUNCTION("""COMPUTED_VALUE"""),0.03353009259259259)</f>
        <v>0.03353009259</v>
      </c>
      <c r="K328" s="9">
        <f t="shared" si="1"/>
        <v>1</v>
      </c>
      <c r="L328" s="7">
        <f>IFERROR(__xludf.DUMMYFUNCTION("SPLIT(C328,""T""""Z"")"),44798.0)</f>
        <v>44798</v>
      </c>
      <c r="M328" s="8">
        <f>IFERROR(__xludf.DUMMYFUNCTION("""COMPUTED_VALUE"""),0.6104398148148148)</f>
        <v>0.6104398148</v>
      </c>
      <c r="N328" s="10">
        <f t="shared" si="2"/>
        <v>134.6505556</v>
      </c>
      <c r="O328" s="11">
        <f t="shared" si="3"/>
        <v>0.5130057803</v>
      </c>
    </row>
    <row r="329">
      <c r="A329" s="1" t="s">
        <v>1019</v>
      </c>
      <c r="B329" s="1" t="s">
        <v>1020</v>
      </c>
      <c r="C329" s="1" t="s">
        <v>1021</v>
      </c>
      <c r="D329" s="1">
        <v>22.0</v>
      </c>
      <c r="E329" s="1" t="s">
        <v>48</v>
      </c>
      <c r="F329" s="1">
        <v>395.0</v>
      </c>
      <c r="G329" s="1">
        <v>1869.0</v>
      </c>
      <c r="H329" s="1">
        <v>1843.0</v>
      </c>
      <c r="I329" s="7">
        <f>IFERROR(__xludf.DUMMYFUNCTION("SPLIT(B329,""T""""Z"")"),41459.0)</f>
        <v>41459</v>
      </c>
      <c r="J329" s="8">
        <f>IFERROR(__xludf.DUMMYFUNCTION("""COMPUTED_VALUE"""),0.22645833333333334)</f>
        <v>0.2264583333</v>
      </c>
      <c r="K329" s="9">
        <f t="shared" si="1"/>
        <v>9</v>
      </c>
      <c r="L329" s="7">
        <f>IFERROR(__xludf.DUMMYFUNCTION("SPLIT(C329,""T""""Z"")"),44798.0)</f>
        <v>44798</v>
      </c>
      <c r="M329" s="8">
        <f>IFERROR(__xludf.DUMMYFUNCTION("""COMPUTED_VALUE"""),0.3611226851851852)</f>
        <v>0.3611226852</v>
      </c>
      <c r="N329" s="10">
        <f t="shared" si="2"/>
        <v>128.6669444</v>
      </c>
      <c r="O329" s="11">
        <f t="shared" si="3"/>
        <v>0.9860888175</v>
      </c>
    </row>
    <row r="330">
      <c r="A330" s="1" t="s">
        <v>1022</v>
      </c>
      <c r="B330" s="1" t="s">
        <v>1023</v>
      </c>
      <c r="C330" s="1" t="s">
        <v>1024</v>
      </c>
      <c r="D330" s="1">
        <v>42.0</v>
      </c>
      <c r="E330" s="1" t="s">
        <v>48</v>
      </c>
      <c r="F330" s="1">
        <v>110.0</v>
      </c>
      <c r="G330" s="1">
        <v>597.0</v>
      </c>
      <c r="H330" s="1">
        <v>595.0</v>
      </c>
      <c r="I330" s="7">
        <f>IFERROR(__xludf.DUMMYFUNCTION("SPLIT(B330,""T""""Z"")"),42265.0)</f>
        <v>42265</v>
      </c>
      <c r="J330" s="8">
        <f>IFERROR(__xludf.DUMMYFUNCTION("""COMPUTED_VALUE"""),0.9617476851851852)</f>
        <v>0.9617476852</v>
      </c>
      <c r="K330" s="9">
        <f t="shared" si="1"/>
        <v>6</v>
      </c>
      <c r="L330" s="7">
        <f>IFERROR(__xludf.DUMMYFUNCTION("SPLIT(C330,""T""""Z"")"),44798.0)</f>
        <v>44798</v>
      </c>
      <c r="M330" s="8">
        <f>IFERROR(__xludf.DUMMYFUNCTION("""COMPUTED_VALUE"""),0.5738657407407407)</f>
        <v>0.5738657407</v>
      </c>
      <c r="N330" s="10">
        <f t="shared" si="2"/>
        <v>133.7727778</v>
      </c>
      <c r="O330" s="11">
        <f t="shared" si="3"/>
        <v>0.9966499162</v>
      </c>
    </row>
    <row r="331">
      <c r="A331" s="1" t="s">
        <v>1025</v>
      </c>
      <c r="B331" s="1" t="s">
        <v>1026</v>
      </c>
      <c r="C331" s="1" t="s">
        <v>1027</v>
      </c>
      <c r="D331" s="1">
        <v>0.0</v>
      </c>
      <c r="E331" s="13" t="s">
        <v>22</v>
      </c>
      <c r="F331" s="1">
        <v>69.0</v>
      </c>
      <c r="G331" s="1">
        <v>364.0</v>
      </c>
      <c r="H331" s="1">
        <v>288.0</v>
      </c>
      <c r="I331" s="7">
        <f>IFERROR(__xludf.DUMMYFUNCTION("SPLIT(B331,""T""""Z"")"),42558.0)</f>
        <v>42558</v>
      </c>
      <c r="J331" s="8">
        <f>IFERROR(__xludf.DUMMYFUNCTION("""COMPUTED_VALUE"""),0.5940625)</f>
        <v>0.5940625</v>
      </c>
      <c r="K331" s="9">
        <f t="shared" si="1"/>
        <v>6</v>
      </c>
      <c r="L331" s="7">
        <f>IFERROR(__xludf.DUMMYFUNCTION("SPLIT(C331,""T""""Z"")"),44798.0)</f>
        <v>44798</v>
      </c>
      <c r="M331" s="8">
        <f>IFERROR(__xludf.DUMMYFUNCTION("""COMPUTED_VALUE"""),0.5596064814814815)</f>
        <v>0.5596064815</v>
      </c>
      <c r="N331" s="12">
        <f t="shared" si="2"/>
        <v>133.4305556</v>
      </c>
      <c r="O331" s="11">
        <f t="shared" si="3"/>
        <v>0.7912087912</v>
      </c>
    </row>
    <row r="332">
      <c r="A332" s="1" t="s">
        <v>1028</v>
      </c>
      <c r="B332" s="1" t="s">
        <v>1029</v>
      </c>
      <c r="C332" s="1" t="s">
        <v>1030</v>
      </c>
      <c r="D332" s="1">
        <v>0.0</v>
      </c>
      <c r="E332" s="1" t="s">
        <v>68</v>
      </c>
      <c r="F332" s="1">
        <v>498.0</v>
      </c>
      <c r="G332" s="1">
        <v>222.0</v>
      </c>
      <c r="H332" s="1">
        <v>86.0</v>
      </c>
      <c r="I332" s="7">
        <f>IFERROR(__xludf.DUMMYFUNCTION("SPLIT(B332,""T""""Z"")"),42564.0)</f>
        <v>42564</v>
      </c>
      <c r="J332" s="8">
        <f>IFERROR(__xludf.DUMMYFUNCTION("""COMPUTED_VALUE"""),0.7293518518518518)</f>
        <v>0.7293518519</v>
      </c>
      <c r="K332" s="9">
        <f t="shared" si="1"/>
        <v>6</v>
      </c>
      <c r="L332" s="7">
        <f>IFERROR(__xludf.DUMMYFUNCTION("SPLIT(C332,""T""""Z"")"),44798.0)</f>
        <v>44798</v>
      </c>
      <c r="M332" s="8">
        <f>IFERROR(__xludf.DUMMYFUNCTION("""COMPUTED_VALUE"""),0.5116203703703703)</f>
        <v>0.5116203704</v>
      </c>
      <c r="N332" s="10">
        <f t="shared" si="2"/>
        <v>132.2788889</v>
      </c>
      <c r="O332" s="11">
        <f t="shared" si="3"/>
        <v>0.3873873874</v>
      </c>
    </row>
    <row r="333">
      <c r="A333" s="1" t="s">
        <v>1031</v>
      </c>
      <c r="B333" s="1" t="s">
        <v>1032</v>
      </c>
      <c r="C333" s="1" t="s">
        <v>1033</v>
      </c>
      <c r="D333" s="1">
        <v>24.0</v>
      </c>
      <c r="E333" s="1" t="s">
        <v>48</v>
      </c>
      <c r="F333" s="1">
        <v>507.0</v>
      </c>
      <c r="G333" s="1">
        <v>4535.0</v>
      </c>
      <c r="H333" s="1">
        <v>4313.0</v>
      </c>
      <c r="I333" s="7">
        <f>IFERROR(__xludf.DUMMYFUNCTION("SPLIT(B333,""T""""Z"")"),40982.0)</f>
        <v>40982</v>
      </c>
      <c r="J333" s="8">
        <f>IFERROR(__xludf.DUMMYFUNCTION("""COMPUTED_VALUE"""),0.7998263888888889)</f>
        <v>0.7998263889</v>
      </c>
      <c r="K333" s="9">
        <f t="shared" si="1"/>
        <v>10</v>
      </c>
      <c r="L333" s="7">
        <f>IFERROR(__xludf.DUMMYFUNCTION("SPLIT(C333,""T""""Z"")"),44798.0)</f>
        <v>44798</v>
      </c>
      <c r="M333" s="8">
        <f>IFERROR(__xludf.DUMMYFUNCTION("""COMPUTED_VALUE"""),0.6029861111111111)</f>
        <v>0.6029861111</v>
      </c>
      <c r="N333" s="10">
        <f t="shared" si="2"/>
        <v>134.4716667</v>
      </c>
      <c r="O333" s="11">
        <f t="shared" si="3"/>
        <v>0.951047409</v>
      </c>
    </row>
    <row r="334">
      <c r="A334" s="1" t="s">
        <v>1034</v>
      </c>
      <c r="B334" s="1" t="s">
        <v>1035</v>
      </c>
      <c r="C334" s="1" t="s">
        <v>1036</v>
      </c>
      <c r="D334" s="1">
        <v>62.0</v>
      </c>
      <c r="E334" s="1" t="s">
        <v>18</v>
      </c>
      <c r="F334" s="1">
        <v>445.0</v>
      </c>
      <c r="G334" s="1">
        <v>1209.0</v>
      </c>
      <c r="H334" s="1">
        <v>1115.0</v>
      </c>
      <c r="I334" s="7">
        <f>IFERROR(__xludf.DUMMYFUNCTION("SPLIT(B334,""T""""Z"")"),41822.0)</f>
        <v>41822</v>
      </c>
      <c r="J334" s="8">
        <f>IFERROR(__xludf.DUMMYFUNCTION("""COMPUTED_VALUE"""),0.251724537037037)</f>
        <v>0.251724537</v>
      </c>
      <c r="K334" s="9">
        <f t="shared" si="1"/>
        <v>8</v>
      </c>
      <c r="L334" s="7">
        <f>IFERROR(__xludf.DUMMYFUNCTION("SPLIT(C334,""T""""Z"")"),44798.0)</f>
        <v>44798</v>
      </c>
      <c r="M334" s="8">
        <f>IFERROR(__xludf.DUMMYFUNCTION("""COMPUTED_VALUE"""),0.39424768518518516)</f>
        <v>0.3942476852</v>
      </c>
      <c r="N334" s="10">
        <f t="shared" si="2"/>
        <v>129.4619444</v>
      </c>
      <c r="O334" s="11">
        <f t="shared" si="3"/>
        <v>0.9222497932</v>
      </c>
    </row>
    <row r="335">
      <c r="A335" s="1" t="s">
        <v>1037</v>
      </c>
      <c r="B335" s="1" t="s">
        <v>1038</v>
      </c>
      <c r="C335" s="1" t="s">
        <v>1039</v>
      </c>
      <c r="D335" s="1">
        <v>123.0</v>
      </c>
      <c r="E335" s="1" t="s">
        <v>18</v>
      </c>
      <c r="F335" s="1">
        <v>1757.0</v>
      </c>
      <c r="G335" s="1">
        <v>3289.0</v>
      </c>
      <c r="H335" s="1">
        <v>2827.0</v>
      </c>
      <c r="I335" s="7">
        <f>IFERROR(__xludf.DUMMYFUNCTION("SPLIT(B335,""T""""Z"")"),43263.0)</f>
        <v>43263</v>
      </c>
      <c r="J335" s="8">
        <f>IFERROR(__xludf.DUMMYFUNCTION("""COMPUTED_VALUE"""),0.5761111111111111)</f>
        <v>0.5761111111</v>
      </c>
      <c r="K335" s="9">
        <f t="shared" si="1"/>
        <v>4</v>
      </c>
      <c r="L335" s="7">
        <f>IFERROR(__xludf.DUMMYFUNCTION("SPLIT(C335,""T""""Z"")"),44798.0)</f>
        <v>44798</v>
      </c>
      <c r="M335" s="8">
        <f>IFERROR(__xludf.DUMMYFUNCTION("""COMPUTED_VALUE"""),0.5924537037037036)</f>
        <v>0.5924537037</v>
      </c>
      <c r="N335" s="10">
        <f t="shared" si="2"/>
        <v>134.2188889</v>
      </c>
      <c r="O335" s="11">
        <f t="shared" si="3"/>
        <v>0.8595317726</v>
      </c>
    </row>
    <row r="336">
      <c r="A336" s="1" t="s">
        <v>1040</v>
      </c>
      <c r="B336" s="1" t="s">
        <v>1041</v>
      </c>
      <c r="C336" s="1" t="s">
        <v>1042</v>
      </c>
      <c r="D336" s="1">
        <v>151.0</v>
      </c>
      <c r="E336" s="1" t="s">
        <v>124</v>
      </c>
      <c r="F336" s="1">
        <v>20221.0</v>
      </c>
      <c r="G336" s="1">
        <v>12507.0</v>
      </c>
      <c r="H336" s="1">
        <v>9871.0</v>
      </c>
      <c r="I336" s="7">
        <f>IFERROR(__xludf.DUMMYFUNCTION("SPLIT(B336,""T""""Z"")"),42253.0)</f>
        <v>42253</v>
      </c>
      <c r="J336" s="8">
        <f>IFERROR(__xludf.DUMMYFUNCTION("""COMPUTED_VALUE"""),0.16796296296296295)</f>
        <v>0.167962963</v>
      </c>
      <c r="K336" s="9">
        <f t="shared" si="1"/>
        <v>6</v>
      </c>
      <c r="L336" s="7">
        <f>IFERROR(__xludf.DUMMYFUNCTION("SPLIT(C336,""T""""Z"")"),44798.0)</f>
        <v>44798</v>
      </c>
      <c r="M336" s="8">
        <f>IFERROR(__xludf.DUMMYFUNCTION("""COMPUTED_VALUE"""),0.5258912037037037)</f>
        <v>0.5258912037</v>
      </c>
      <c r="N336" s="10">
        <f t="shared" si="2"/>
        <v>132.6213889</v>
      </c>
      <c r="O336" s="11">
        <f t="shared" si="3"/>
        <v>0.7892380267</v>
      </c>
    </row>
    <row r="337">
      <c r="A337" s="1" t="s">
        <v>1043</v>
      </c>
      <c r="B337" s="1" t="s">
        <v>1044</v>
      </c>
      <c r="C337" s="1" t="s">
        <v>1045</v>
      </c>
      <c r="D337" s="1">
        <v>14.0</v>
      </c>
      <c r="E337" s="1" t="s">
        <v>347</v>
      </c>
      <c r="F337" s="1">
        <v>655.0</v>
      </c>
      <c r="G337" s="1">
        <v>2172.0</v>
      </c>
      <c r="H337" s="1">
        <v>1809.0</v>
      </c>
      <c r="I337" s="7">
        <f>IFERROR(__xludf.DUMMYFUNCTION("SPLIT(B337,""T""""Z"")"),42018.0)</f>
        <v>42018</v>
      </c>
      <c r="J337" s="8">
        <f>IFERROR(__xludf.DUMMYFUNCTION("""COMPUTED_VALUE"""),0.9177430555555556)</f>
        <v>0.9177430556</v>
      </c>
      <c r="K337" s="9">
        <f t="shared" si="1"/>
        <v>7</v>
      </c>
      <c r="L337" s="7">
        <f>IFERROR(__xludf.DUMMYFUNCTION("SPLIT(C337,""T""""Z"")"),44798.0)</f>
        <v>44798</v>
      </c>
      <c r="M337" s="8">
        <f>IFERROR(__xludf.DUMMYFUNCTION("""COMPUTED_VALUE"""),0.2258449074074074)</f>
        <v>0.2258449074</v>
      </c>
      <c r="N337" s="10">
        <f t="shared" si="2"/>
        <v>125.4202778</v>
      </c>
      <c r="O337" s="11">
        <f t="shared" si="3"/>
        <v>0.8328729282</v>
      </c>
    </row>
    <row r="338">
      <c r="A338" s="1" t="s">
        <v>1046</v>
      </c>
      <c r="B338" s="1" t="s">
        <v>1047</v>
      </c>
      <c r="C338" s="1" t="s">
        <v>1048</v>
      </c>
      <c r="D338" s="1">
        <v>4.0</v>
      </c>
      <c r="E338" s="1" t="s">
        <v>18</v>
      </c>
      <c r="F338" s="1">
        <v>2674.0</v>
      </c>
      <c r="G338" s="1">
        <v>2019.0</v>
      </c>
      <c r="H338" s="1">
        <v>1397.0</v>
      </c>
      <c r="I338" s="7">
        <f>IFERROR(__xludf.DUMMYFUNCTION("SPLIT(B338,""T""""Z"")"),43832.0)</f>
        <v>43832</v>
      </c>
      <c r="J338" s="8">
        <f>IFERROR(__xludf.DUMMYFUNCTION("""COMPUTED_VALUE"""),0.04494212962962963)</f>
        <v>0.04494212963</v>
      </c>
      <c r="K338" s="9">
        <f t="shared" si="1"/>
        <v>2</v>
      </c>
      <c r="L338" s="7">
        <f>IFERROR(__xludf.DUMMYFUNCTION("SPLIT(C338,""T""""Z"")"),44798.0)</f>
        <v>44798</v>
      </c>
      <c r="M338" s="8">
        <f>IFERROR(__xludf.DUMMYFUNCTION("""COMPUTED_VALUE"""),0.5840046296296296)</f>
        <v>0.5840046296</v>
      </c>
      <c r="N338" s="10">
        <f t="shared" si="2"/>
        <v>134.0161111</v>
      </c>
      <c r="O338" s="11">
        <f t="shared" si="3"/>
        <v>0.6919266964</v>
      </c>
    </row>
    <row r="339">
      <c r="A339" s="1" t="s">
        <v>1049</v>
      </c>
      <c r="B339" s="1" t="s">
        <v>1050</v>
      </c>
      <c r="C339" s="1" t="s">
        <v>1051</v>
      </c>
      <c r="D339" s="1">
        <v>0.0</v>
      </c>
      <c r="E339" s="1" t="s">
        <v>38</v>
      </c>
      <c r="F339" s="1">
        <v>32.0</v>
      </c>
      <c r="G339" s="1">
        <v>1113.0</v>
      </c>
      <c r="H339" s="1">
        <v>347.0</v>
      </c>
      <c r="I339" s="7">
        <f>IFERROR(__xludf.DUMMYFUNCTION("SPLIT(B339,""T""""Z"")"),43398.0)</f>
        <v>43398</v>
      </c>
      <c r="J339" s="8">
        <f>IFERROR(__xludf.DUMMYFUNCTION("""COMPUTED_VALUE"""),0.9566435185185185)</f>
        <v>0.9566435185</v>
      </c>
      <c r="K339" s="9">
        <f t="shared" si="1"/>
        <v>3</v>
      </c>
      <c r="L339" s="7">
        <f>IFERROR(__xludf.DUMMYFUNCTION("SPLIT(C339,""T""""Z"")"),44798.0)</f>
        <v>44798</v>
      </c>
      <c r="M339" s="8">
        <f>IFERROR(__xludf.DUMMYFUNCTION("""COMPUTED_VALUE"""),0.598287037037037)</f>
        <v>0.598287037</v>
      </c>
      <c r="N339" s="10">
        <f t="shared" si="2"/>
        <v>134.3588889</v>
      </c>
      <c r="O339" s="11">
        <f t="shared" si="3"/>
        <v>0.311769991</v>
      </c>
    </row>
    <row r="340">
      <c r="A340" s="1" t="s">
        <v>1052</v>
      </c>
      <c r="B340" s="1" t="s">
        <v>1053</v>
      </c>
      <c r="C340" s="1" t="s">
        <v>1054</v>
      </c>
      <c r="D340" s="1">
        <v>0.0</v>
      </c>
      <c r="E340" s="13" t="s">
        <v>22</v>
      </c>
      <c r="F340" s="1">
        <v>278.0</v>
      </c>
      <c r="G340" s="1">
        <v>42.0</v>
      </c>
      <c r="H340" s="1">
        <v>41.0</v>
      </c>
      <c r="I340" s="7">
        <f>IFERROR(__xludf.DUMMYFUNCTION("SPLIT(B340,""T""""Z"")"),42545.0)</f>
        <v>42545</v>
      </c>
      <c r="J340" s="8">
        <f>IFERROR(__xludf.DUMMYFUNCTION("""COMPUTED_VALUE"""),0.6385763888888889)</f>
        <v>0.6385763889</v>
      </c>
      <c r="K340" s="9">
        <f t="shared" si="1"/>
        <v>6</v>
      </c>
      <c r="L340" s="7">
        <f>IFERROR(__xludf.DUMMYFUNCTION("SPLIT(C340,""T""""Z"")"),44798.0)</f>
        <v>44798</v>
      </c>
      <c r="M340" s="8">
        <f>IFERROR(__xludf.DUMMYFUNCTION("""COMPUTED_VALUE"""),0.6056134259259259)</f>
        <v>0.6056134259</v>
      </c>
      <c r="N340" s="12">
        <f t="shared" si="2"/>
        <v>134.5347222</v>
      </c>
      <c r="O340" s="11">
        <f t="shared" si="3"/>
        <v>0.9761904762</v>
      </c>
    </row>
    <row r="341">
      <c r="A341" s="1" t="s">
        <v>1055</v>
      </c>
      <c r="B341" s="1" t="s">
        <v>1056</v>
      </c>
      <c r="C341" s="1" t="s">
        <v>1057</v>
      </c>
      <c r="D341" s="1">
        <v>149.0</v>
      </c>
      <c r="E341" s="1" t="s">
        <v>124</v>
      </c>
      <c r="F341" s="1">
        <v>9952.0</v>
      </c>
      <c r="G341" s="1">
        <v>9468.0</v>
      </c>
      <c r="H341" s="1">
        <v>7718.0</v>
      </c>
      <c r="I341" s="7">
        <f>IFERROR(__xludf.DUMMYFUNCTION("SPLIT(B341,""T""""Z"")"),42675.0)</f>
        <v>42675</v>
      </c>
      <c r="J341" s="8">
        <f>IFERROR(__xludf.DUMMYFUNCTION("""COMPUTED_VALUE"""),0.09266203703703704)</f>
        <v>0.09266203704</v>
      </c>
      <c r="K341" s="9">
        <f t="shared" si="1"/>
        <v>5</v>
      </c>
      <c r="L341" s="7">
        <f>IFERROR(__xludf.DUMMYFUNCTION("SPLIT(C341,""T""""Z"")"),44798.0)</f>
        <v>44798</v>
      </c>
      <c r="M341" s="8">
        <f>IFERROR(__xludf.DUMMYFUNCTION("""COMPUTED_VALUE"""),0.5873611111111111)</f>
        <v>0.5873611111</v>
      </c>
      <c r="N341" s="10">
        <f t="shared" si="2"/>
        <v>134.0966667</v>
      </c>
      <c r="O341" s="11">
        <f t="shared" si="3"/>
        <v>0.8151668779</v>
      </c>
    </row>
    <row r="342">
      <c r="A342" s="1" t="s">
        <v>1058</v>
      </c>
      <c r="B342" s="1" t="s">
        <v>1059</v>
      </c>
      <c r="C342" s="1" t="s">
        <v>1060</v>
      </c>
      <c r="D342" s="1">
        <v>0.0</v>
      </c>
      <c r="E342" s="1" t="s">
        <v>48</v>
      </c>
      <c r="F342" s="1">
        <v>912.0</v>
      </c>
      <c r="G342" s="1">
        <v>66.0</v>
      </c>
      <c r="H342" s="1">
        <v>34.0</v>
      </c>
      <c r="I342" s="7">
        <f>IFERROR(__xludf.DUMMYFUNCTION("SPLIT(B342,""T""""Z"")"),42089.0)</f>
        <v>42089</v>
      </c>
      <c r="J342" s="8">
        <f>IFERROR(__xludf.DUMMYFUNCTION("""COMPUTED_VALUE"""),0.8320138888888889)</f>
        <v>0.8320138889</v>
      </c>
      <c r="K342" s="9">
        <f t="shared" si="1"/>
        <v>7</v>
      </c>
      <c r="L342" s="7">
        <f>IFERROR(__xludf.DUMMYFUNCTION("SPLIT(C342,""T""""Z"")"),44798.0)</f>
        <v>44798</v>
      </c>
      <c r="M342" s="8">
        <f>IFERROR(__xludf.DUMMYFUNCTION("""COMPUTED_VALUE"""),0.5963194444444444)</f>
        <v>0.5963194444</v>
      </c>
      <c r="N342" s="10">
        <f t="shared" si="2"/>
        <v>134.3116667</v>
      </c>
      <c r="O342" s="11">
        <f t="shared" si="3"/>
        <v>0.5151515152</v>
      </c>
    </row>
    <row r="343">
      <c r="A343" s="1" t="s">
        <v>1061</v>
      </c>
      <c r="B343" s="1" t="s">
        <v>1062</v>
      </c>
      <c r="C343" s="1" t="s">
        <v>1063</v>
      </c>
      <c r="D343" s="1">
        <v>92.0</v>
      </c>
      <c r="E343" s="1" t="s">
        <v>38</v>
      </c>
      <c r="F343" s="1">
        <v>28875.0</v>
      </c>
      <c r="G343" s="1">
        <v>5414.0</v>
      </c>
      <c r="H343" s="1">
        <v>4974.0</v>
      </c>
      <c r="I343" s="7">
        <f>IFERROR(__xludf.DUMMYFUNCTION("SPLIT(B343,""T""""Z"")"),40420.0)</f>
        <v>40420</v>
      </c>
      <c r="J343" s="8">
        <f>IFERROR(__xludf.DUMMYFUNCTION("""COMPUTED_VALUE"""),0.9213078703703703)</f>
        <v>0.9213078704</v>
      </c>
      <c r="K343" s="9">
        <f t="shared" si="1"/>
        <v>12</v>
      </c>
      <c r="L343" s="7">
        <f>IFERROR(__xludf.DUMMYFUNCTION("SPLIT(C343,""T""""Z"")"),44798.0)</f>
        <v>44798</v>
      </c>
      <c r="M343" s="8">
        <f>IFERROR(__xludf.DUMMYFUNCTION("""COMPUTED_VALUE"""),0.5264236111111111)</f>
        <v>0.5264236111</v>
      </c>
      <c r="N343" s="10">
        <f t="shared" si="2"/>
        <v>132.6341667</v>
      </c>
      <c r="O343" s="11">
        <f t="shared" si="3"/>
        <v>0.9187292205</v>
      </c>
    </row>
    <row r="344">
      <c r="A344" s="1" t="s">
        <v>1064</v>
      </c>
      <c r="B344" s="1" t="s">
        <v>1065</v>
      </c>
      <c r="C344" s="1" t="s">
        <v>1066</v>
      </c>
      <c r="D344" s="1">
        <v>0.0</v>
      </c>
      <c r="E344" s="1" t="s">
        <v>686</v>
      </c>
      <c r="F344" s="1">
        <v>482.0</v>
      </c>
      <c r="G344" s="1">
        <v>167.0</v>
      </c>
      <c r="H344" s="1">
        <v>131.0</v>
      </c>
      <c r="I344" s="7">
        <f>IFERROR(__xludf.DUMMYFUNCTION("SPLIT(B344,""T""""Z"")"),43042.0)</f>
        <v>43042</v>
      </c>
      <c r="J344" s="8">
        <f>IFERROR(__xludf.DUMMYFUNCTION("""COMPUTED_VALUE"""),0.10802083333333333)</f>
        <v>0.1080208333</v>
      </c>
      <c r="K344" s="9">
        <f t="shared" si="1"/>
        <v>4</v>
      </c>
      <c r="L344" s="7">
        <f>IFERROR(__xludf.DUMMYFUNCTION("SPLIT(C344,""T""""Z"")"),44798.0)</f>
        <v>44798</v>
      </c>
      <c r="M344" s="8">
        <f>IFERROR(__xludf.DUMMYFUNCTION("""COMPUTED_VALUE"""),0.5678587962962963)</f>
        <v>0.5678587963</v>
      </c>
      <c r="N344" s="10">
        <f t="shared" si="2"/>
        <v>133.6286111</v>
      </c>
      <c r="O344" s="11">
        <f t="shared" si="3"/>
        <v>0.7844311377</v>
      </c>
    </row>
    <row r="345">
      <c r="A345" s="1" t="s">
        <v>1067</v>
      </c>
      <c r="B345" s="1" t="s">
        <v>1068</v>
      </c>
      <c r="C345" s="1" t="s">
        <v>1069</v>
      </c>
      <c r="D345" s="1">
        <v>0.0</v>
      </c>
      <c r="E345" s="1" t="s">
        <v>95</v>
      </c>
      <c r="F345" s="1">
        <v>8669.0</v>
      </c>
      <c r="G345" s="1">
        <v>617.0</v>
      </c>
      <c r="H345" s="1">
        <v>588.0</v>
      </c>
      <c r="I345" s="7">
        <f>IFERROR(__xludf.DUMMYFUNCTION("SPLIT(B345,""T""""Z"")"),41393.0)</f>
        <v>41393</v>
      </c>
      <c r="J345" s="8">
        <f>IFERROR(__xludf.DUMMYFUNCTION("""COMPUTED_VALUE"""),0.7684722222222222)</f>
        <v>0.7684722222</v>
      </c>
      <c r="K345" s="9">
        <f t="shared" si="1"/>
        <v>9</v>
      </c>
      <c r="L345" s="7">
        <f>IFERROR(__xludf.DUMMYFUNCTION("SPLIT(C345,""T""""Z"")"),44798.0)</f>
        <v>44798</v>
      </c>
      <c r="M345" s="8">
        <f>IFERROR(__xludf.DUMMYFUNCTION("""COMPUTED_VALUE"""),0.5965856481481482)</f>
        <v>0.5965856481</v>
      </c>
      <c r="N345" s="10">
        <f t="shared" si="2"/>
        <v>134.3180556</v>
      </c>
      <c r="O345" s="11">
        <f t="shared" si="3"/>
        <v>0.9529983793</v>
      </c>
    </row>
    <row r="346">
      <c r="A346" s="1" t="s">
        <v>1070</v>
      </c>
      <c r="B346" s="1" t="s">
        <v>1071</v>
      </c>
      <c r="C346" s="1" t="s">
        <v>1072</v>
      </c>
      <c r="D346" s="1">
        <v>266.0</v>
      </c>
      <c r="E346" s="1" t="s">
        <v>18</v>
      </c>
      <c r="F346" s="1">
        <v>1396.0</v>
      </c>
      <c r="G346" s="1">
        <v>4727.0</v>
      </c>
      <c r="H346" s="1">
        <v>4449.0</v>
      </c>
      <c r="I346" s="7">
        <f>IFERROR(__xludf.DUMMYFUNCTION("SPLIT(B346,""T""""Z"")"),42751.0)</f>
        <v>42751</v>
      </c>
      <c r="J346" s="8">
        <f>IFERROR(__xludf.DUMMYFUNCTION("""COMPUTED_VALUE"""),0.9095023148148148)</f>
        <v>0.9095023148</v>
      </c>
      <c r="K346" s="9">
        <f t="shared" si="1"/>
        <v>5</v>
      </c>
      <c r="L346" s="7">
        <f>IFERROR(__xludf.DUMMYFUNCTION("SPLIT(C346,""T""""Z"")"),44798.0)</f>
        <v>44798</v>
      </c>
      <c r="M346" s="8">
        <f>IFERROR(__xludf.DUMMYFUNCTION("""COMPUTED_VALUE"""),0.5486805555555555)</f>
        <v>0.5486805556</v>
      </c>
      <c r="N346" s="10">
        <f t="shared" si="2"/>
        <v>133.1683333</v>
      </c>
      <c r="O346" s="11">
        <f t="shared" si="3"/>
        <v>0.9411889147</v>
      </c>
    </row>
    <row r="347">
      <c r="A347" s="1" t="s">
        <v>1073</v>
      </c>
      <c r="B347" s="1" t="s">
        <v>1074</v>
      </c>
      <c r="C347" s="1" t="s">
        <v>1075</v>
      </c>
      <c r="D347" s="1">
        <v>0.0</v>
      </c>
      <c r="E347" s="13" t="s">
        <v>22</v>
      </c>
      <c r="F347" s="1">
        <v>2.0</v>
      </c>
      <c r="G347" s="1">
        <v>58.0</v>
      </c>
      <c r="H347" s="1">
        <v>58.0</v>
      </c>
      <c r="I347" s="7">
        <f>IFERROR(__xludf.DUMMYFUNCTION("SPLIT(B347,""T""""Z"")"),43781.0)</f>
        <v>43781</v>
      </c>
      <c r="J347" s="8">
        <f>IFERROR(__xludf.DUMMYFUNCTION("""COMPUTED_VALUE"""),0.18493055555555554)</f>
        <v>0.1849305556</v>
      </c>
      <c r="K347" s="9">
        <f t="shared" si="1"/>
        <v>2</v>
      </c>
      <c r="L347" s="7">
        <f>IFERROR(__xludf.DUMMYFUNCTION("SPLIT(C347,""T""""Z"")"),44798.0)</f>
        <v>44798</v>
      </c>
      <c r="M347" s="8">
        <f>IFERROR(__xludf.DUMMYFUNCTION("""COMPUTED_VALUE"""),0.5890046296296296)</f>
        <v>0.5890046296</v>
      </c>
      <c r="N347" s="12">
        <f t="shared" si="2"/>
        <v>134.1361111</v>
      </c>
      <c r="O347" s="11">
        <f t="shared" si="3"/>
        <v>1</v>
      </c>
    </row>
    <row r="348">
      <c r="A348" s="1" t="s">
        <v>1076</v>
      </c>
      <c r="B348" s="1" t="s">
        <v>1077</v>
      </c>
      <c r="C348" s="1" t="s">
        <v>1078</v>
      </c>
      <c r="D348" s="1">
        <v>241.0</v>
      </c>
      <c r="E348" s="1" t="s">
        <v>48</v>
      </c>
      <c r="F348" s="1">
        <v>198.0</v>
      </c>
      <c r="G348" s="1">
        <v>3451.0</v>
      </c>
      <c r="H348" s="1">
        <v>3416.0</v>
      </c>
      <c r="I348" s="7">
        <f>IFERROR(__xludf.DUMMYFUNCTION("SPLIT(B348,""T""""Z"")"),42095.0)</f>
        <v>42095</v>
      </c>
      <c r="J348" s="8">
        <f>IFERROR(__xludf.DUMMYFUNCTION("""COMPUTED_VALUE"""),0.7438773148148148)</f>
        <v>0.7438773148</v>
      </c>
      <c r="K348" s="9">
        <f t="shared" si="1"/>
        <v>7</v>
      </c>
      <c r="L348" s="7">
        <f>IFERROR(__xludf.DUMMYFUNCTION("SPLIT(C348,""T""""Z"")"),44798.0)</f>
        <v>44798</v>
      </c>
      <c r="M348" s="8">
        <f>IFERROR(__xludf.DUMMYFUNCTION("""COMPUTED_VALUE"""),0.5328819444444445)</f>
        <v>0.5328819444</v>
      </c>
      <c r="N348" s="10">
        <f t="shared" si="2"/>
        <v>132.7891667</v>
      </c>
      <c r="O348" s="11">
        <f t="shared" si="3"/>
        <v>0.9898580122</v>
      </c>
    </row>
    <row r="349">
      <c r="A349" s="1" t="s">
        <v>1079</v>
      </c>
      <c r="B349" s="1" t="s">
        <v>1080</v>
      </c>
      <c r="C349" s="1" t="s">
        <v>1081</v>
      </c>
      <c r="D349" s="1">
        <v>0.0</v>
      </c>
      <c r="E349" s="1" t="s">
        <v>68</v>
      </c>
      <c r="F349" s="1">
        <v>28.0</v>
      </c>
      <c r="G349" s="1">
        <v>66.0</v>
      </c>
      <c r="H349" s="1">
        <v>30.0</v>
      </c>
      <c r="I349" s="7">
        <f>IFERROR(__xludf.DUMMYFUNCTION("SPLIT(B349,""T""""Z"")"),43264.0)</f>
        <v>43264</v>
      </c>
      <c r="J349" s="8">
        <f>IFERROR(__xludf.DUMMYFUNCTION("""COMPUTED_VALUE"""),0.06913194444444444)</f>
        <v>0.06913194444</v>
      </c>
      <c r="K349" s="9">
        <f t="shared" si="1"/>
        <v>4</v>
      </c>
      <c r="L349" s="7">
        <f>IFERROR(__xludf.DUMMYFUNCTION("SPLIT(C349,""T""""Z"")"),44798.0)</f>
        <v>44798</v>
      </c>
      <c r="M349" s="8">
        <f>IFERROR(__xludf.DUMMYFUNCTION("""COMPUTED_VALUE"""),0.5222453703703703)</f>
        <v>0.5222453704</v>
      </c>
      <c r="N349" s="10">
        <f t="shared" si="2"/>
        <v>132.5338889</v>
      </c>
      <c r="O349" s="11">
        <f t="shared" si="3"/>
        <v>0.4545454545</v>
      </c>
    </row>
    <row r="350">
      <c r="A350" s="1" t="s">
        <v>1082</v>
      </c>
      <c r="B350" s="1" t="s">
        <v>1083</v>
      </c>
      <c r="C350" s="1" t="s">
        <v>1084</v>
      </c>
      <c r="D350" s="1">
        <v>2.0</v>
      </c>
      <c r="E350" s="1" t="s">
        <v>38</v>
      </c>
      <c r="F350" s="1">
        <v>91.0</v>
      </c>
      <c r="G350" s="1">
        <v>169.0</v>
      </c>
      <c r="H350" s="1">
        <v>118.0</v>
      </c>
      <c r="I350" s="7">
        <f>IFERROR(__xludf.DUMMYFUNCTION("SPLIT(B350,""T""""Z"")"),42975.0)</f>
        <v>42975</v>
      </c>
      <c r="J350" s="8">
        <f>IFERROR(__xludf.DUMMYFUNCTION("""COMPUTED_VALUE"""),0.8488310185185185)</f>
        <v>0.8488310185</v>
      </c>
      <c r="K350" s="9">
        <f t="shared" si="1"/>
        <v>5</v>
      </c>
      <c r="L350" s="7">
        <f>IFERROR(__xludf.DUMMYFUNCTION("SPLIT(C350,""T""""Z"")"),44798.0)</f>
        <v>44798</v>
      </c>
      <c r="M350" s="8">
        <f>IFERROR(__xludf.DUMMYFUNCTION("""COMPUTED_VALUE"""),0.567025462962963)</f>
        <v>0.567025463</v>
      </c>
      <c r="N350" s="10">
        <f t="shared" si="2"/>
        <v>133.6086111</v>
      </c>
      <c r="O350" s="11">
        <f t="shared" si="3"/>
        <v>0.6982248521</v>
      </c>
    </row>
    <row r="351">
      <c r="A351" s="1" t="s">
        <v>1085</v>
      </c>
      <c r="B351" s="1" t="s">
        <v>1086</v>
      </c>
      <c r="C351" s="1" t="s">
        <v>1087</v>
      </c>
      <c r="D351" s="1">
        <v>130.0</v>
      </c>
      <c r="E351" s="1" t="s">
        <v>18</v>
      </c>
      <c r="F351" s="1">
        <v>2249.0</v>
      </c>
      <c r="G351" s="1">
        <v>8902.0</v>
      </c>
      <c r="H351" s="1">
        <v>8083.0</v>
      </c>
      <c r="I351" s="7">
        <f>IFERROR(__xludf.DUMMYFUNCTION("SPLIT(B351,""T""""Z"")"),43198.0)</f>
        <v>43198</v>
      </c>
      <c r="J351" s="8">
        <f>IFERROR(__xludf.DUMMYFUNCTION("""COMPUTED_VALUE"""),0.39752314814814815)</f>
        <v>0.3975231481</v>
      </c>
      <c r="K351" s="9">
        <f t="shared" si="1"/>
        <v>4</v>
      </c>
      <c r="L351" s="7">
        <f>IFERROR(__xludf.DUMMYFUNCTION("SPLIT(C351,""T""""Z"")"),44798.0)</f>
        <v>44798</v>
      </c>
      <c r="M351" s="8">
        <f>IFERROR(__xludf.DUMMYFUNCTION("""COMPUTED_VALUE"""),0.5264930555555556)</f>
        <v>0.5264930556</v>
      </c>
      <c r="N351" s="10">
        <f t="shared" si="2"/>
        <v>132.6358333</v>
      </c>
      <c r="O351" s="11">
        <f t="shared" si="3"/>
        <v>0.9079982027</v>
      </c>
    </row>
    <row r="352">
      <c r="A352" s="1" t="s">
        <v>1088</v>
      </c>
      <c r="B352" s="1" t="s">
        <v>1089</v>
      </c>
      <c r="C352" s="1" t="s">
        <v>1090</v>
      </c>
      <c r="D352" s="1">
        <v>0.0</v>
      </c>
      <c r="E352" s="1" t="s">
        <v>347</v>
      </c>
      <c r="F352" s="1">
        <v>140.0</v>
      </c>
      <c r="G352" s="1">
        <v>296.0</v>
      </c>
      <c r="H352" s="1">
        <v>112.0</v>
      </c>
      <c r="I352" s="7">
        <f>IFERROR(__xludf.DUMMYFUNCTION("SPLIT(B352,""T""""Z"")"),42144.0)</f>
        <v>42144</v>
      </c>
      <c r="J352" s="8">
        <f>IFERROR(__xludf.DUMMYFUNCTION("""COMPUTED_VALUE"""),0.804849537037037)</f>
        <v>0.804849537</v>
      </c>
      <c r="K352" s="9">
        <f t="shared" si="1"/>
        <v>7</v>
      </c>
      <c r="L352" s="7">
        <f>IFERROR(__xludf.DUMMYFUNCTION("SPLIT(C352,""T""""Z"")"),44798.0)</f>
        <v>44798</v>
      </c>
      <c r="M352" s="8">
        <f>IFERROR(__xludf.DUMMYFUNCTION("""COMPUTED_VALUE"""),0.6015856481481482)</f>
        <v>0.6015856481</v>
      </c>
      <c r="N352" s="10">
        <f t="shared" si="2"/>
        <v>134.4380556</v>
      </c>
      <c r="O352" s="11">
        <f t="shared" si="3"/>
        <v>0.3783783784</v>
      </c>
    </row>
    <row r="353">
      <c r="A353" s="1" t="s">
        <v>1091</v>
      </c>
      <c r="B353" s="1" t="s">
        <v>1092</v>
      </c>
      <c r="C353" s="1" t="s">
        <v>1093</v>
      </c>
      <c r="D353" s="1">
        <v>249.0</v>
      </c>
      <c r="E353" s="1" t="s">
        <v>18</v>
      </c>
      <c r="F353" s="1">
        <v>1470.0</v>
      </c>
      <c r="G353" s="1">
        <v>499.0</v>
      </c>
      <c r="H353" s="1">
        <v>220.0</v>
      </c>
      <c r="I353" s="7">
        <f>IFERROR(__xludf.DUMMYFUNCTION("SPLIT(B353,""T""""Z"")"),43400.0)</f>
        <v>43400</v>
      </c>
      <c r="J353" s="8">
        <f>IFERROR(__xludf.DUMMYFUNCTION("""COMPUTED_VALUE"""),0.4278356481481482)</f>
        <v>0.4278356481</v>
      </c>
      <c r="K353" s="9">
        <f t="shared" si="1"/>
        <v>3</v>
      </c>
      <c r="L353" s="7">
        <f>IFERROR(__xludf.DUMMYFUNCTION("SPLIT(C353,""T""""Z"")"),44798.0)</f>
        <v>44798</v>
      </c>
      <c r="M353" s="8">
        <f>IFERROR(__xludf.DUMMYFUNCTION("""COMPUTED_VALUE"""),0.6067708333333334)</f>
        <v>0.6067708333</v>
      </c>
      <c r="N353" s="10">
        <f t="shared" si="2"/>
        <v>134.5625</v>
      </c>
      <c r="O353" s="11">
        <f t="shared" si="3"/>
        <v>0.4408817635</v>
      </c>
    </row>
    <row r="354">
      <c r="A354" s="1" t="s">
        <v>1094</v>
      </c>
      <c r="B354" s="1" t="s">
        <v>1095</v>
      </c>
      <c r="C354" s="1" t="s">
        <v>1096</v>
      </c>
      <c r="D354" s="1">
        <v>43.0</v>
      </c>
      <c r="E354" s="1" t="s">
        <v>52</v>
      </c>
      <c r="F354" s="1">
        <v>630.0</v>
      </c>
      <c r="G354" s="1">
        <v>2030.0</v>
      </c>
      <c r="H354" s="1">
        <v>2007.0</v>
      </c>
      <c r="I354" s="7">
        <f>IFERROR(__xludf.DUMMYFUNCTION("SPLIT(B354,""T""""Z"")"),41459.0)</f>
        <v>41459</v>
      </c>
      <c r="J354" s="8">
        <f>IFERROR(__xludf.DUMMYFUNCTION("""COMPUTED_VALUE"""),0.3665393518518518)</f>
        <v>0.3665393519</v>
      </c>
      <c r="K354" s="9">
        <f t="shared" si="1"/>
        <v>9</v>
      </c>
      <c r="L354" s="7">
        <f>IFERROR(__xludf.DUMMYFUNCTION("SPLIT(C354,""T""""Z"")"),44798.0)</f>
        <v>44798</v>
      </c>
      <c r="M354" s="8">
        <f>IFERROR(__xludf.DUMMYFUNCTION("""COMPUTED_VALUE"""),0.6060763888888889)</f>
        <v>0.6060763889</v>
      </c>
      <c r="N354" s="10">
        <f t="shared" si="2"/>
        <v>134.5458333</v>
      </c>
      <c r="O354" s="11">
        <f t="shared" si="3"/>
        <v>0.9886699507</v>
      </c>
    </row>
    <row r="355">
      <c r="A355" s="1" t="s">
        <v>1097</v>
      </c>
      <c r="B355" s="1" t="s">
        <v>1098</v>
      </c>
      <c r="C355" s="1" t="s">
        <v>1099</v>
      </c>
      <c r="D355" s="1">
        <v>125.0</v>
      </c>
      <c r="E355" s="1" t="s">
        <v>193</v>
      </c>
      <c r="F355" s="1">
        <v>57.0</v>
      </c>
      <c r="G355" s="1">
        <v>2282.0</v>
      </c>
      <c r="H355" s="1">
        <v>2260.0</v>
      </c>
      <c r="I355" s="7">
        <f>IFERROR(__xludf.DUMMYFUNCTION("SPLIT(B355,""T""""Z"")"),43676.0)</f>
        <v>43676</v>
      </c>
      <c r="J355" s="8">
        <f>IFERROR(__xludf.DUMMYFUNCTION("""COMPUTED_VALUE"""),0.15791666666666668)</f>
        <v>0.1579166667</v>
      </c>
      <c r="K355" s="9">
        <f t="shared" si="1"/>
        <v>3</v>
      </c>
      <c r="L355" s="7">
        <f>IFERROR(__xludf.DUMMYFUNCTION("SPLIT(C355,""T""""Z"")"),44798.0)</f>
        <v>44798</v>
      </c>
      <c r="M355" s="8">
        <f>IFERROR(__xludf.DUMMYFUNCTION("""COMPUTED_VALUE"""),0.5977430555555555)</f>
        <v>0.5977430556</v>
      </c>
      <c r="N355" s="10">
        <f t="shared" si="2"/>
        <v>134.3458333</v>
      </c>
      <c r="O355" s="11">
        <f t="shared" si="3"/>
        <v>0.9903593339</v>
      </c>
    </row>
    <row r="356">
      <c r="A356" s="1" t="s">
        <v>1100</v>
      </c>
      <c r="B356" s="1" t="s">
        <v>1101</v>
      </c>
      <c r="C356" s="1" t="s">
        <v>1102</v>
      </c>
      <c r="D356" s="1">
        <v>37.0</v>
      </c>
      <c r="E356" s="13" t="s">
        <v>22</v>
      </c>
      <c r="F356" s="1">
        <v>706.0</v>
      </c>
      <c r="G356" s="1">
        <v>240.0</v>
      </c>
      <c r="H356" s="1">
        <v>239.0</v>
      </c>
      <c r="I356" s="7">
        <f>IFERROR(__xludf.DUMMYFUNCTION("SPLIT(B356,""T""""Z"")"),42030.0)</f>
        <v>42030</v>
      </c>
      <c r="J356" s="8">
        <f>IFERROR(__xludf.DUMMYFUNCTION("""COMPUTED_VALUE"""),0.9809490740740741)</f>
        <v>0.9809490741</v>
      </c>
      <c r="K356" s="9">
        <f t="shared" si="1"/>
        <v>7</v>
      </c>
      <c r="L356" s="7">
        <f>IFERROR(__xludf.DUMMYFUNCTION("SPLIT(C356,""T""""Z"")"),44798.0)</f>
        <v>44798</v>
      </c>
      <c r="M356" s="8">
        <f>IFERROR(__xludf.DUMMYFUNCTION("""COMPUTED_VALUE"""),0.5634375)</f>
        <v>0.5634375</v>
      </c>
      <c r="N356" s="12">
        <f t="shared" si="2"/>
        <v>133.5225</v>
      </c>
      <c r="O356" s="11">
        <f t="shared" si="3"/>
        <v>0.9958333333</v>
      </c>
    </row>
    <row r="357">
      <c r="A357" s="1" t="s">
        <v>1103</v>
      </c>
      <c r="B357" s="1" t="s">
        <v>1104</v>
      </c>
      <c r="C357" s="1" t="s">
        <v>1105</v>
      </c>
      <c r="D357" s="1">
        <v>91.0</v>
      </c>
      <c r="E357" s="1" t="s">
        <v>18</v>
      </c>
      <c r="F357" s="1">
        <v>250.0</v>
      </c>
      <c r="G357" s="1">
        <v>1135.0</v>
      </c>
      <c r="H357" s="1">
        <v>947.0</v>
      </c>
      <c r="I357" s="7">
        <f>IFERROR(__xludf.DUMMYFUNCTION("SPLIT(B357,""T""""Z"")"),42190.0)</f>
        <v>42190</v>
      </c>
      <c r="J357" s="8">
        <f>IFERROR(__xludf.DUMMYFUNCTION("""COMPUTED_VALUE"""),0.24770833333333334)</f>
        <v>0.2477083333</v>
      </c>
      <c r="K357" s="9">
        <f t="shared" si="1"/>
        <v>7</v>
      </c>
      <c r="L357" s="7">
        <f>IFERROR(__xludf.DUMMYFUNCTION("SPLIT(C357,""T""""Z"")"),44798.0)</f>
        <v>44798</v>
      </c>
      <c r="M357" s="8">
        <f>IFERROR(__xludf.DUMMYFUNCTION("""COMPUTED_VALUE"""),0.6083912037037037)</f>
        <v>0.6083912037</v>
      </c>
      <c r="N357" s="10">
        <f t="shared" si="2"/>
        <v>134.6013889</v>
      </c>
      <c r="O357" s="11">
        <f t="shared" si="3"/>
        <v>0.8343612335</v>
      </c>
    </row>
    <row r="358">
      <c r="A358" s="1" t="s">
        <v>1106</v>
      </c>
      <c r="B358" s="1" t="s">
        <v>1107</v>
      </c>
      <c r="C358" s="1" t="s">
        <v>1108</v>
      </c>
      <c r="D358" s="1">
        <v>25.0</v>
      </c>
      <c r="E358" s="1" t="s">
        <v>95</v>
      </c>
      <c r="F358" s="1">
        <v>350.0</v>
      </c>
      <c r="G358" s="1">
        <v>1238.0</v>
      </c>
      <c r="H358" s="1">
        <v>991.0</v>
      </c>
      <c r="I358" s="7">
        <f>IFERROR(__xludf.DUMMYFUNCTION("SPLIT(B358,""T""""Z"")"),41351.0)</f>
        <v>41351</v>
      </c>
      <c r="J358" s="8">
        <f>IFERROR(__xludf.DUMMYFUNCTION("""COMPUTED_VALUE"""),0.7141319444444445)</f>
        <v>0.7141319444</v>
      </c>
      <c r="K358" s="9">
        <f t="shared" si="1"/>
        <v>9</v>
      </c>
      <c r="L358" s="7">
        <f>IFERROR(__xludf.DUMMYFUNCTION("SPLIT(C358,""T""""Z"")"),44798.0)</f>
        <v>44798</v>
      </c>
      <c r="M358" s="8">
        <f>IFERROR(__xludf.DUMMYFUNCTION("""COMPUTED_VALUE"""),0.6094444444444445)</f>
        <v>0.6094444444</v>
      </c>
      <c r="N358" s="10">
        <f t="shared" si="2"/>
        <v>134.6266667</v>
      </c>
      <c r="O358" s="11">
        <f t="shared" si="3"/>
        <v>0.8004846527</v>
      </c>
    </row>
    <row r="359">
      <c r="A359" s="1" t="s">
        <v>1109</v>
      </c>
      <c r="B359" s="1" t="s">
        <v>1110</v>
      </c>
      <c r="C359" s="1" t="s">
        <v>1111</v>
      </c>
      <c r="D359" s="1">
        <v>330.0</v>
      </c>
      <c r="E359" s="1" t="s">
        <v>38</v>
      </c>
      <c r="F359" s="1">
        <v>359.0</v>
      </c>
      <c r="G359" s="1">
        <v>13052.0</v>
      </c>
      <c r="H359" s="1">
        <v>5229.0</v>
      </c>
      <c r="I359" s="7">
        <f>IFERROR(__xludf.DUMMYFUNCTION("SPLIT(B359,""T""""Z"")"),42019.0)</f>
        <v>42019</v>
      </c>
      <c r="J359" s="8">
        <f>IFERROR(__xludf.DUMMYFUNCTION("""COMPUTED_VALUE"""),0.39989583333333334)</f>
        <v>0.3998958333</v>
      </c>
      <c r="K359" s="9">
        <f t="shared" si="1"/>
        <v>7</v>
      </c>
      <c r="L359" s="7">
        <f>IFERROR(__xludf.DUMMYFUNCTION("SPLIT(C359,""T""""Z"")"),44798.0)</f>
        <v>44798</v>
      </c>
      <c r="M359" s="8">
        <f>IFERROR(__xludf.DUMMYFUNCTION("""COMPUTED_VALUE"""),0.5322453703703703)</f>
        <v>0.5322453704</v>
      </c>
      <c r="N359" s="10">
        <f t="shared" si="2"/>
        <v>132.7738889</v>
      </c>
      <c r="O359" s="11">
        <f t="shared" si="3"/>
        <v>0.4006282562</v>
      </c>
    </row>
    <row r="360">
      <c r="A360" s="1" t="s">
        <v>1112</v>
      </c>
      <c r="B360" s="1" t="s">
        <v>1113</v>
      </c>
      <c r="C360" s="1" t="s">
        <v>1114</v>
      </c>
      <c r="D360" s="1">
        <v>11.0</v>
      </c>
      <c r="E360" s="1" t="s">
        <v>88</v>
      </c>
      <c r="F360" s="1">
        <v>16.0</v>
      </c>
      <c r="G360" s="1">
        <v>0.0</v>
      </c>
      <c r="H360" s="1">
        <v>0.0</v>
      </c>
      <c r="I360" s="7">
        <f>IFERROR(__xludf.DUMMYFUNCTION("SPLIT(B360,""T""""Z"")"),40647.0)</f>
        <v>40647</v>
      </c>
      <c r="J360" s="8">
        <f>IFERROR(__xludf.DUMMYFUNCTION("""COMPUTED_VALUE"""),0.5921064814814815)</f>
        <v>0.5921064815</v>
      </c>
      <c r="K360" s="9">
        <f t="shared" si="1"/>
        <v>11</v>
      </c>
      <c r="L360" s="7">
        <f>IFERROR(__xludf.DUMMYFUNCTION("SPLIT(C360,""T""""Z"")"),44798.0)</f>
        <v>44798</v>
      </c>
      <c r="M360" s="8">
        <f>IFERROR(__xludf.DUMMYFUNCTION("""COMPUTED_VALUE"""),0.5508449074074074)</f>
        <v>0.5508449074</v>
      </c>
      <c r="N360" s="10">
        <f t="shared" si="2"/>
        <v>133.2202778</v>
      </c>
      <c r="O360" s="11">
        <f t="shared" si="3"/>
        <v>0</v>
      </c>
    </row>
    <row r="361">
      <c r="A361" s="1" t="s">
        <v>1115</v>
      </c>
      <c r="B361" s="1" t="s">
        <v>1116</v>
      </c>
      <c r="C361" s="1" t="s">
        <v>1117</v>
      </c>
      <c r="D361" s="1">
        <v>0.0</v>
      </c>
      <c r="E361" s="1" t="s">
        <v>95</v>
      </c>
      <c r="F361" s="1">
        <v>25.0</v>
      </c>
      <c r="G361" s="1">
        <v>38.0</v>
      </c>
      <c r="H361" s="1">
        <v>32.0</v>
      </c>
      <c r="I361" s="7">
        <f>IFERROR(__xludf.DUMMYFUNCTION("SPLIT(B361,""T""""Z"")"),43980.0)</f>
        <v>43980</v>
      </c>
      <c r="J361" s="8">
        <f>IFERROR(__xludf.DUMMYFUNCTION("""COMPUTED_VALUE"""),0.24107638888888888)</f>
        <v>0.2410763889</v>
      </c>
      <c r="K361" s="9">
        <f t="shared" si="1"/>
        <v>2</v>
      </c>
      <c r="L361" s="7">
        <f>IFERROR(__xludf.DUMMYFUNCTION("SPLIT(C361,""T""""Z"")"),44798.0)</f>
        <v>44798</v>
      </c>
      <c r="M361" s="8">
        <f>IFERROR(__xludf.DUMMYFUNCTION("""COMPUTED_VALUE"""),0.5774305555555556)</f>
        <v>0.5774305556</v>
      </c>
      <c r="N361" s="10">
        <f t="shared" si="2"/>
        <v>133.8583333</v>
      </c>
      <c r="O361" s="11">
        <f t="shared" si="3"/>
        <v>0.8421052632</v>
      </c>
    </row>
    <row r="362">
      <c r="A362" s="1" t="s">
        <v>1118</v>
      </c>
      <c r="B362" s="1" t="s">
        <v>1119</v>
      </c>
      <c r="C362" s="1" t="s">
        <v>1120</v>
      </c>
      <c r="D362" s="1">
        <v>116.0</v>
      </c>
      <c r="E362" s="1" t="s">
        <v>95</v>
      </c>
      <c r="F362" s="1">
        <v>85.0</v>
      </c>
      <c r="G362" s="1">
        <v>1468.0</v>
      </c>
      <c r="H362" s="1">
        <v>1258.0</v>
      </c>
      <c r="I362" s="7">
        <f>IFERROR(__xludf.DUMMYFUNCTION("SPLIT(B362,""T""""Z"")"),42581.0)</f>
        <v>42581</v>
      </c>
      <c r="J362" s="8">
        <f>IFERROR(__xludf.DUMMYFUNCTION("""COMPUTED_VALUE"""),0.7628703703703704)</f>
        <v>0.7628703704</v>
      </c>
      <c r="K362" s="9">
        <f t="shared" si="1"/>
        <v>6</v>
      </c>
      <c r="L362" s="7">
        <f>IFERROR(__xludf.DUMMYFUNCTION("SPLIT(C362,""T""""Z"")"),44798.0)</f>
        <v>44798</v>
      </c>
      <c r="M362" s="8">
        <f>IFERROR(__xludf.DUMMYFUNCTION("""COMPUTED_VALUE"""),0.28752314814814817)</f>
        <v>0.2875231481</v>
      </c>
      <c r="N362" s="10">
        <f t="shared" si="2"/>
        <v>126.9005556</v>
      </c>
      <c r="O362" s="11">
        <f t="shared" si="3"/>
        <v>0.8569482289</v>
      </c>
    </row>
    <row r="363">
      <c r="A363" s="1" t="s">
        <v>1121</v>
      </c>
      <c r="B363" s="1" t="s">
        <v>1122</v>
      </c>
      <c r="C363" s="1" t="s">
        <v>1123</v>
      </c>
      <c r="D363" s="1">
        <v>0.0</v>
      </c>
      <c r="E363" s="1" t="s">
        <v>48</v>
      </c>
      <c r="F363" s="1">
        <v>1103.0</v>
      </c>
      <c r="G363" s="1">
        <v>0.0</v>
      </c>
      <c r="H363" s="1">
        <v>0.0</v>
      </c>
      <c r="I363" s="7">
        <f>IFERROR(__xludf.DUMMYFUNCTION("SPLIT(B363,""T""""Z"")"),42809.0)</f>
        <v>42809</v>
      </c>
      <c r="J363" s="8">
        <f>IFERROR(__xludf.DUMMYFUNCTION("""COMPUTED_VALUE"""),0.21459490740740741)</f>
        <v>0.2145949074</v>
      </c>
      <c r="K363" s="9">
        <f t="shared" si="1"/>
        <v>5</v>
      </c>
      <c r="L363" s="7">
        <f>IFERROR(__xludf.DUMMYFUNCTION("SPLIT(C363,""T""""Z"")"),44798.0)</f>
        <v>44798</v>
      </c>
      <c r="M363" s="8">
        <f>IFERROR(__xludf.DUMMYFUNCTION("""COMPUTED_VALUE"""),0.6099189814814815)</f>
        <v>0.6099189815</v>
      </c>
      <c r="N363" s="10">
        <f t="shared" si="2"/>
        <v>134.6380556</v>
      </c>
      <c r="O363" s="11">
        <f t="shared" si="3"/>
        <v>0</v>
      </c>
    </row>
    <row r="364">
      <c r="A364" s="1" t="s">
        <v>1124</v>
      </c>
      <c r="B364" s="1" t="s">
        <v>1125</v>
      </c>
      <c r="C364" s="1" t="s">
        <v>1126</v>
      </c>
      <c r="D364" s="1">
        <v>259.0</v>
      </c>
      <c r="E364" s="1" t="s">
        <v>124</v>
      </c>
      <c r="F364" s="1">
        <v>18874.0</v>
      </c>
      <c r="G364" s="1">
        <v>16265.0</v>
      </c>
      <c r="H364" s="1">
        <v>15808.0</v>
      </c>
      <c r="I364" s="7">
        <f>IFERROR(__xludf.DUMMYFUNCTION("SPLIT(B364,""T""""Z"")"),42692.0)</f>
        <v>42692</v>
      </c>
      <c r="J364" s="8">
        <f>IFERROR(__xludf.DUMMYFUNCTION("""COMPUTED_VALUE"""),0.9981597222222223)</f>
        <v>0.9981597222</v>
      </c>
      <c r="K364" s="9">
        <f t="shared" si="1"/>
        <v>5</v>
      </c>
      <c r="L364" s="7">
        <f>IFERROR(__xludf.DUMMYFUNCTION("SPLIT(C364,""T""""Z"")"),44798.0)</f>
        <v>44798</v>
      </c>
      <c r="M364" s="8">
        <f>IFERROR(__xludf.DUMMYFUNCTION("""COMPUTED_VALUE"""),0.598738425925926)</f>
        <v>0.5987384259</v>
      </c>
      <c r="N364" s="10">
        <f t="shared" si="2"/>
        <v>134.3697222</v>
      </c>
      <c r="O364" s="11">
        <f t="shared" si="3"/>
        <v>0.9719028589</v>
      </c>
    </row>
    <row r="365">
      <c r="A365" s="1" t="s">
        <v>1127</v>
      </c>
      <c r="B365" s="1" t="s">
        <v>1128</v>
      </c>
      <c r="C365" s="1" t="s">
        <v>1129</v>
      </c>
      <c r="D365" s="1">
        <v>0.0</v>
      </c>
      <c r="E365" s="13" t="s">
        <v>22</v>
      </c>
      <c r="F365" s="1">
        <v>3502.0</v>
      </c>
      <c r="G365" s="1">
        <v>5487.0</v>
      </c>
      <c r="H365" s="1">
        <v>5482.0</v>
      </c>
      <c r="I365" s="7">
        <f>IFERROR(__xludf.DUMMYFUNCTION("SPLIT(B365,""T""""Z"")"),42312.0)</f>
        <v>42312</v>
      </c>
      <c r="J365" s="8">
        <f>IFERROR(__xludf.DUMMYFUNCTION("""COMPUTED_VALUE"""),0.14528935185185185)</f>
        <v>0.1452893519</v>
      </c>
      <c r="K365" s="9">
        <f t="shared" si="1"/>
        <v>6</v>
      </c>
      <c r="L365" s="7">
        <f>IFERROR(__xludf.DUMMYFUNCTION("SPLIT(C365,""T""""Z"")"),44798.0)</f>
        <v>44798</v>
      </c>
      <c r="M365" s="8">
        <f>IFERROR(__xludf.DUMMYFUNCTION("""COMPUTED_VALUE"""),0.15400462962962963)</f>
        <v>0.1540046296</v>
      </c>
      <c r="N365" s="12">
        <f t="shared" si="2"/>
        <v>123.6961111</v>
      </c>
      <c r="O365" s="11">
        <f t="shared" si="3"/>
        <v>0.9990887552</v>
      </c>
    </row>
    <row r="366">
      <c r="A366" s="1" t="s">
        <v>1130</v>
      </c>
      <c r="B366" s="1" t="s">
        <v>1131</v>
      </c>
      <c r="C366" s="1" t="s">
        <v>1132</v>
      </c>
      <c r="D366" s="1">
        <v>0.0</v>
      </c>
      <c r="E366" s="1" t="s">
        <v>48</v>
      </c>
      <c r="F366" s="1">
        <v>109.0</v>
      </c>
      <c r="G366" s="1">
        <v>2349.0</v>
      </c>
      <c r="H366" s="1">
        <v>2228.0</v>
      </c>
      <c r="I366" s="7">
        <f>IFERROR(__xludf.DUMMYFUNCTION("SPLIT(B366,""T""""Z"")"),41246.0)</f>
        <v>41246</v>
      </c>
      <c r="J366" s="8">
        <f>IFERROR(__xludf.DUMMYFUNCTION("""COMPUTED_VALUE"""),0.8096296296296296)</f>
        <v>0.8096296296</v>
      </c>
      <c r="K366" s="9">
        <f t="shared" si="1"/>
        <v>9</v>
      </c>
      <c r="L366" s="7">
        <f>IFERROR(__xludf.DUMMYFUNCTION("SPLIT(C366,""T""""Z"")"),44798.0)</f>
        <v>44798</v>
      </c>
      <c r="M366" s="8">
        <f>IFERROR(__xludf.DUMMYFUNCTION("""COMPUTED_VALUE"""),0.5926157407407407)</f>
        <v>0.5926157407</v>
      </c>
      <c r="N366" s="10">
        <f t="shared" si="2"/>
        <v>134.2227778</v>
      </c>
      <c r="O366" s="11">
        <f t="shared" si="3"/>
        <v>0.9484887186</v>
      </c>
    </row>
    <row r="367">
      <c r="A367" s="1" t="s">
        <v>1133</v>
      </c>
      <c r="B367" s="1" t="s">
        <v>1134</v>
      </c>
      <c r="C367" s="1" t="s">
        <v>1135</v>
      </c>
      <c r="D367" s="1">
        <v>0.0</v>
      </c>
      <c r="E367" s="13" t="s">
        <v>22</v>
      </c>
      <c r="F367" s="1">
        <v>16.0</v>
      </c>
      <c r="G367" s="1">
        <v>238.0</v>
      </c>
      <c r="H367" s="1">
        <v>69.0</v>
      </c>
      <c r="I367" s="7">
        <f>IFERROR(__xludf.DUMMYFUNCTION("SPLIT(B367,""T""""Z"")"),43551.0)</f>
        <v>43551</v>
      </c>
      <c r="J367" s="8">
        <f>IFERROR(__xludf.DUMMYFUNCTION("""COMPUTED_VALUE"""),0.9955671296296297)</f>
        <v>0.9955671296</v>
      </c>
      <c r="K367" s="9">
        <f t="shared" si="1"/>
        <v>3</v>
      </c>
      <c r="L367" s="7">
        <f>IFERROR(__xludf.DUMMYFUNCTION("SPLIT(C367,""T""""Z"")"),44798.0)</f>
        <v>44798</v>
      </c>
      <c r="M367" s="8">
        <f>IFERROR(__xludf.DUMMYFUNCTION("""COMPUTED_VALUE"""),0.47476851851851853)</f>
        <v>0.4747685185</v>
      </c>
      <c r="N367" s="12">
        <f t="shared" si="2"/>
        <v>131.3944444</v>
      </c>
      <c r="O367" s="11">
        <f t="shared" si="3"/>
        <v>0.2899159664</v>
      </c>
    </row>
    <row r="368">
      <c r="A368" s="1" t="s">
        <v>1136</v>
      </c>
      <c r="B368" s="1" t="s">
        <v>1137</v>
      </c>
      <c r="C368" s="1" t="s">
        <v>1138</v>
      </c>
      <c r="D368" s="1">
        <v>33.0</v>
      </c>
      <c r="E368" s="1" t="s">
        <v>347</v>
      </c>
      <c r="F368" s="1">
        <v>281.0</v>
      </c>
      <c r="G368" s="1">
        <v>587.0</v>
      </c>
      <c r="H368" s="1">
        <v>519.0</v>
      </c>
      <c r="I368" s="7">
        <f>IFERROR(__xludf.DUMMYFUNCTION("SPLIT(B368,""T""""Z"")"),43132.0)</f>
        <v>43132</v>
      </c>
      <c r="J368" s="8">
        <f>IFERROR(__xludf.DUMMYFUNCTION("""COMPUTED_VALUE"""),0.38123842592592594)</f>
        <v>0.3812384259</v>
      </c>
      <c r="K368" s="9">
        <f t="shared" si="1"/>
        <v>4</v>
      </c>
      <c r="L368" s="7">
        <f>IFERROR(__xludf.DUMMYFUNCTION("SPLIT(C368,""T""""Z"")"),44798.0)</f>
        <v>44798</v>
      </c>
      <c r="M368" s="8">
        <f>IFERROR(__xludf.DUMMYFUNCTION("""COMPUTED_VALUE"""),0.6094791666666667)</f>
        <v>0.6094791667</v>
      </c>
      <c r="N368" s="10">
        <f t="shared" si="2"/>
        <v>134.6275</v>
      </c>
      <c r="O368" s="11">
        <f t="shared" si="3"/>
        <v>0.8841567291</v>
      </c>
    </row>
    <row r="369">
      <c r="A369" s="1" t="s">
        <v>1139</v>
      </c>
      <c r="B369" s="1" t="s">
        <v>1140</v>
      </c>
      <c r="C369" s="1" t="s">
        <v>1141</v>
      </c>
      <c r="D369" s="1">
        <v>0.0</v>
      </c>
      <c r="E369" s="1" t="s">
        <v>228</v>
      </c>
      <c r="F369" s="1">
        <v>119.0</v>
      </c>
      <c r="G369" s="1">
        <v>3307.0</v>
      </c>
      <c r="H369" s="1">
        <v>3258.0</v>
      </c>
      <c r="I369" s="7">
        <f>IFERROR(__xludf.DUMMYFUNCTION("SPLIT(B369,""T""""Z"")"),40513.0)</f>
        <v>40513</v>
      </c>
      <c r="J369" s="8">
        <f>IFERROR(__xludf.DUMMYFUNCTION("""COMPUTED_VALUE"""),0.6496759259259259)</f>
        <v>0.6496759259</v>
      </c>
      <c r="K369" s="9">
        <f t="shared" si="1"/>
        <v>11</v>
      </c>
      <c r="L369" s="7">
        <f>IFERROR(__xludf.DUMMYFUNCTION("SPLIT(C369,""T""""Z"")"),44798.0)</f>
        <v>44798</v>
      </c>
      <c r="M369" s="8">
        <f>IFERROR(__xludf.DUMMYFUNCTION("""COMPUTED_VALUE"""),0.1346064814814815)</f>
        <v>0.1346064815</v>
      </c>
      <c r="N369" s="10">
        <f t="shared" si="2"/>
        <v>123.2305556</v>
      </c>
      <c r="O369" s="11">
        <f t="shared" si="3"/>
        <v>0.9851829453</v>
      </c>
    </row>
    <row r="370">
      <c r="A370" s="1" t="s">
        <v>1142</v>
      </c>
      <c r="B370" s="1" t="s">
        <v>1143</v>
      </c>
      <c r="C370" s="1" t="s">
        <v>1144</v>
      </c>
      <c r="D370" s="1">
        <v>215.0</v>
      </c>
      <c r="E370" s="1" t="s">
        <v>48</v>
      </c>
      <c r="F370" s="1">
        <v>629.0</v>
      </c>
      <c r="G370" s="1">
        <v>608.0</v>
      </c>
      <c r="H370" s="1">
        <v>588.0</v>
      </c>
      <c r="I370" s="7">
        <f>IFERROR(__xludf.DUMMYFUNCTION("SPLIT(B370,""T""""Z"")"),42902.0)</f>
        <v>42902</v>
      </c>
      <c r="J370" s="8">
        <f>IFERROR(__xludf.DUMMYFUNCTION("""COMPUTED_VALUE"""),0.11837962962962963)</f>
        <v>0.1183796296</v>
      </c>
      <c r="K370" s="9">
        <f t="shared" si="1"/>
        <v>5</v>
      </c>
      <c r="L370" s="7">
        <f>IFERROR(__xludf.DUMMYFUNCTION("SPLIT(C370,""T""""Z"")"),44798.0)</f>
        <v>44798</v>
      </c>
      <c r="M370" s="8">
        <f>IFERROR(__xludf.DUMMYFUNCTION("""COMPUTED_VALUE"""),0.5891087962962963)</f>
        <v>0.5891087963</v>
      </c>
      <c r="N370" s="10">
        <f t="shared" si="2"/>
        <v>134.1386111</v>
      </c>
      <c r="O370" s="11">
        <f t="shared" si="3"/>
        <v>0.9671052632</v>
      </c>
    </row>
    <row r="371">
      <c r="A371" s="1" t="s">
        <v>1145</v>
      </c>
      <c r="B371" s="1" t="s">
        <v>1146</v>
      </c>
      <c r="C371" s="1" t="s">
        <v>1147</v>
      </c>
      <c r="D371" s="1">
        <v>170.0</v>
      </c>
      <c r="E371" s="1" t="s">
        <v>18</v>
      </c>
      <c r="F371" s="1">
        <v>743.0</v>
      </c>
      <c r="G371" s="1">
        <v>2096.0</v>
      </c>
      <c r="H371" s="1">
        <v>1491.0</v>
      </c>
      <c r="I371" s="7">
        <f>IFERROR(__xludf.DUMMYFUNCTION("SPLIT(B371,""T""""Z"")"),42900.0)</f>
        <v>42900</v>
      </c>
      <c r="J371" s="8">
        <f>IFERROR(__xludf.DUMMYFUNCTION("""COMPUTED_VALUE"""),0.8270717592592592)</f>
        <v>0.8270717593</v>
      </c>
      <c r="K371" s="9">
        <f t="shared" si="1"/>
        <v>5</v>
      </c>
      <c r="L371" s="7">
        <f>IFERROR(__xludf.DUMMYFUNCTION("SPLIT(C371,""T""""Z"")"),44798.0)</f>
        <v>44798</v>
      </c>
      <c r="M371" s="8">
        <f>IFERROR(__xludf.DUMMYFUNCTION("""COMPUTED_VALUE"""),0.5443171296296296)</f>
        <v>0.5443171296</v>
      </c>
      <c r="N371" s="10">
        <f t="shared" si="2"/>
        <v>133.0636111</v>
      </c>
      <c r="O371" s="11">
        <f t="shared" si="3"/>
        <v>0.7113549618</v>
      </c>
    </row>
    <row r="372">
      <c r="A372" s="1" t="s">
        <v>1148</v>
      </c>
      <c r="B372" s="1" t="s">
        <v>1149</v>
      </c>
      <c r="C372" s="1" t="s">
        <v>1150</v>
      </c>
      <c r="D372" s="1">
        <v>39.0</v>
      </c>
      <c r="E372" s="1" t="s">
        <v>686</v>
      </c>
      <c r="F372" s="1">
        <v>412.0</v>
      </c>
      <c r="G372" s="1">
        <v>3116.0</v>
      </c>
      <c r="H372" s="1">
        <v>1792.0</v>
      </c>
      <c r="I372" s="7">
        <f>IFERROR(__xludf.DUMMYFUNCTION("SPLIT(B372,""T""""Z"")"),42723.0)</f>
        <v>42723</v>
      </c>
      <c r="J372" s="8">
        <f>IFERROR(__xludf.DUMMYFUNCTION("""COMPUTED_VALUE"""),0.3046875)</f>
        <v>0.3046875</v>
      </c>
      <c r="K372" s="9">
        <f t="shared" si="1"/>
        <v>5</v>
      </c>
      <c r="L372" s="7">
        <f>IFERROR(__xludf.DUMMYFUNCTION("SPLIT(C372,""T""""Z"")"),44798.0)</f>
        <v>44798</v>
      </c>
      <c r="M372" s="8">
        <f>IFERROR(__xludf.DUMMYFUNCTION("""COMPUTED_VALUE"""),0.5488657407407408)</f>
        <v>0.5488657407</v>
      </c>
      <c r="N372" s="10">
        <f t="shared" si="2"/>
        <v>133.1727778</v>
      </c>
      <c r="O372" s="11">
        <f t="shared" si="3"/>
        <v>0.5750962773</v>
      </c>
    </row>
    <row r="373">
      <c r="A373" s="1" t="s">
        <v>1151</v>
      </c>
      <c r="B373" s="1" t="s">
        <v>1152</v>
      </c>
      <c r="C373" s="1" t="s">
        <v>1153</v>
      </c>
      <c r="D373" s="1">
        <v>0.0</v>
      </c>
      <c r="E373" s="13" t="s">
        <v>22</v>
      </c>
      <c r="F373" s="1">
        <v>201.0</v>
      </c>
      <c r="G373" s="1">
        <v>80.0</v>
      </c>
      <c r="H373" s="1">
        <v>68.0</v>
      </c>
      <c r="I373" s="7">
        <f>IFERROR(__xludf.DUMMYFUNCTION("SPLIT(B373,""T""""Z"")"),41644.0)</f>
        <v>41644</v>
      </c>
      <c r="J373" s="8">
        <f>IFERROR(__xludf.DUMMYFUNCTION("""COMPUTED_VALUE"""),0.6390625)</f>
        <v>0.6390625</v>
      </c>
      <c r="K373" s="9">
        <f t="shared" si="1"/>
        <v>8</v>
      </c>
      <c r="L373" s="7">
        <f>IFERROR(__xludf.DUMMYFUNCTION("SPLIT(C373,""T""""Z"")"),44798.0)</f>
        <v>44798</v>
      </c>
      <c r="M373" s="8">
        <f>IFERROR(__xludf.DUMMYFUNCTION("""COMPUTED_VALUE"""),0.39895833333333336)</f>
        <v>0.3989583333</v>
      </c>
      <c r="N373" s="12">
        <f t="shared" si="2"/>
        <v>129.575</v>
      </c>
      <c r="O373" s="11">
        <f t="shared" si="3"/>
        <v>0.85</v>
      </c>
    </row>
    <row r="374">
      <c r="A374" s="1" t="s">
        <v>1154</v>
      </c>
      <c r="B374" s="1" t="s">
        <v>1155</v>
      </c>
      <c r="C374" s="1" t="s">
        <v>1156</v>
      </c>
      <c r="D374" s="1">
        <v>687.0</v>
      </c>
      <c r="E374" s="1" t="s">
        <v>48</v>
      </c>
      <c r="F374" s="1">
        <v>32.0</v>
      </c>
      <c r="G374" s="1">
        <v>2562.0</v>
      </c>
      <c r="H374" s="1">
        <v>2270.0</v>
      </c>
      <c r="I374" s="7">
        <f>IFERROR(__xludf.DUMMYFUNCTION("SPLIT(B374,""T""""Z"")"),42619.0)</f>
        <v>42619</v>
      </c>
      <c r="J374" s="8">
        <f>IFERROR(__xludf.DUMMYFUNCTION("""COMPUTED_VALUE"""),0.5411458333333333)</f>
        <v>0.5411458333</v>
      </c>
      <c r="K374" s="9">
        <f t="shared" si="1"/>
        <v>5</v>
      </c>
      <c r="L374" s="7">
        <f>IFERROR(__xludf.DUMMYFUNCTION("SPLIT(C374,""T""""Z"")"),44798.0)</f>
        <v>44798</v>
      </c>
      <c r="M374" s="8">
        <f>IFERROR(__xludf.DUMMYFUNCTION("""COMPUTED_VALUE"""),0.5449074074074074)</f>
        <v>0.5449074074</v>
      </c>
      <c r="N374" s="10">
        <f t="shared" si="2"/>
        <v>133.0777778</v>
      </c>
      <c r="O374" s="11">
        <f t="shared" si="3"/>
        <v>0.8860265418</v>
      </c>
    </row>
    <row r="375">
      <c r="A375" s="1" t="s">
        <v>1157</v>
      </c>
      <c r="B375" s="1" t="s">
        <v>1158</v>
      </c>
      <c r="C375" s="1" t="s">
        <v>1159</v>
      </c>
      <c r="D375" s="1">
        <v>0.0</v>
      </c>
      <c r="E375" s="13" t="s">
        <v>22</v>
      </c>
      <c r="F375" s="1">
        <v>1345.0</v>
      </c>
      <c r="G375" s="1">
        <v>122.0</v>
      </c>
      <c r="H375" s="1">
        <v>39.0</v>
      </c>
      <c r="I375" s="7">
        <f>IFERROR(__xludf.DUMMYFUNCTION("SPLIT(B375,""T""""Z"")"),43813.0)</f>
        <v>43813</v>
      </c>
      <c r="J375" s="8">
        <f>IFERROR(__xludf.DUMMYFUNCTION("""COMPUTED_VALUE"""),0.5039583333333333)</f>
        <v>0.5039583333</v>
      </c>
      <c r="K375" s="9">
        <f t="shared" si="1"/>
        <v>2</v>
      </c>
      <c r="L375" s="7">
        <f>IFERROR(__xludf.DUMMYFUNCTION("SPLIT(C375,""T""""Z"")"),44798.0)</f>
        <v>44798</v>
      </c>
      <c r="M375" s="8">
        <f>IFERROR(__xludf.DUMMYFUNCTION("""COMPUTED_VALUE"""),0.6006828703703704)</f>
        <v>0.6006828704</v>
      </c>
      <c r="N375" s="12">
        <f t="shared" si="2"/>
        <v>134.4163889</v>
      </c>
      <c r="O375" s="11">
        <f t="shared" si="3"/>
        <v>0.3196721311</v>
      </c>
    </row>
    <row r="376">
      <c r="A376" s="1" t="s">
        <v>1160</v>
      </c>
      <c r="B376" s="1" t="s">
        <v>1161</v>
      </c>
      <c r="C376" s="1" t="s">
        <v>1162</v>
      </c>
      <c r="D376" s="1">
        <v>0.0</v>
      </c>
      <c r="E376" s="1" t="s">
        <v>124</v>
      </c>
      <c r="F376" s="1">
        <v>592.0</v>
      </c>
      <c r="G376" s="1">
        <v>0.0</v>
      </c>
      <c r="H376" s="1">
        <v>0.0</v>
      </c>
      <c r="I376" s="7">
        <f>IFERROR(__xludf.DUMMYFUNCTION("SPLIT(B376,""T""""Z"")"),41357.0)</f>
        <v>41357</v>
      </c>
      <c r="J376" s="8">
        <f>IFERROR(__xludf.DUMMYFUNCTION("""COMPUTED_VALUE"""),0.7212731481481481)</f>
        <v>0.7212731481</v>
      </c>
      <c r="K376" s="9">
        <f t="shared" si="1"/>
        <v>9</v>
      </c>
      <c r="L376" s="7">
        <f>IFERROR(__xludf.DUMMYFUNCTION("SPLIT(C376,""T""""Z"")"),44798.0)</f>
        <v>44798</v>
      </c>
      <c r="M376" s="8">
        <f>IFERROR(__xludf.DUMMYFUNCTION("""COMPUTED_VALUE"""),0.47302083333333333)</f>
        <v>0.4730208333</v>
      </c>
      <c r="N376" s="10">
        <f t="shared" si="2"/>
        <v>131.3525</v>
      </c>
      <c r="O376" s="11">
        <f t="shared" si="3"/>
        <v>0</v>
      </c>
    </row>
    <row r="377">
      <c r="A377" s="1" t="s">
        <v>1163</v>
      </c>
      <c r="B377" s="1" t="s">
        <v>1164</v>
      </c>
      <c r="C377" s="1" t="s">
        <v>1165</v>
      </c>
      <c r="D377" s="1">
        <v>0.0</v>
      </c>
      <c r="E377" s="1" t="s">
        <v>48</v>
      </c>
      <c r="F377" s="1">
        <v>193.0</v>
      </c>
      <c r="G377" s="1">
        <v>2909.0</v>
      </c>
      <c r="H377" s="1">
        <v>2209.0</v>
      </c>
      <c r="I377" s="7">
        <f>IFERROR(__xludf.DUMMYFUNCTION("SPLIT(B377,""T""""Z"")"),42528.0)</f>
        <v>42528</v>
      </c>
      <c r="J377" s="8">
        <f>IFERROR(__xludf.DUMMYFUNCTION("""COMPUTED_VALUE"""),0.7059143518518518)</f>
        <v>0.7059143519</v>
      </c>
      <c r="K377" s="9">
        <f t="shared" si="1"/>
        <v>6</v>
      </c>
      <c r="L377" s="7">
        <f>IFERROR(__xludf.DUMMYFUNCTION("SPLIT(C377,""T""""Z"")"),44798.0)</f>
        <v>44798</v>
      </c>
      <c r="M377" s="8">
        <f>IFERROR(__xludf.DUMMYFUNCTION("""COMPUTED_VALUE"""),0.5179166666666667)</f>
        <v>0.5179166667</v>
      </c>
      <c r="N377" s="10">
        <f t="shared" si="2"/>
        <v>132.43</v>
      </c>
      <c r="O377" s="11">
        <f t="shared" si="3"/>
        <v>0.7593674802</v>
      </c>
    </row>
    <row r="378">
      <c r="A378" s="1" t="s">
        <v>1166</v>
      </c>
      <c r="B378" s="1" t="s">
        <v>1167</v>
      </c>
      <c r="C378" s="1" t="s">
        <v>1168</v>
      </c>
      <c r="D378" s="1">
        <v>0.0</v>
      </c>
      <c r="E378" s="1" t="s">
        <v>88</v>
      </c>
      <c r="F378" s="1">
        <v>35.0</v>
      </c>
      <c r="G378" s="1">
        <v>5213.0</v>
      </c>
      <c r="H378" s="1">
        <v>2507.0</v>
      </c>
      <c r="I378" s="7">
        <f>IFERROR(__xludf.DUMMYFUNCTION("SPLIT(B378,""T""""Z"")"),41428.0)</f>
        <v>41428</v>
      </c>
      <c r="J378" s="8">
        <f>IFERROR(__xludf.DUMMYFUNCTION("""COMPUTED_VALUE"""),0.17504629629629628)</f>
        <v>0.1750462963</v>
      </c>
      <c r="K378" s="9">
        <f t="shared" si="1"/>
        <v>9</v>
      </c>
      <c r="L378" s="7">
        <f>IFERROR(__xludf.DUMMYFUNCTION("SPLIT(C378,""T""""Z"")"),44798.0)</f>
        <v>44798</v>
      </c>
      <c r="M378" s="8">
        <f>IFERROR(__xludf.DUMMYFUNCTION("""COMPUTED_VALUE"""),0.35400462962962964)</f>
        <v>0.3540046296</v>
      </c>
      <c r="N378" s="10">
        <f t="shared" si="2"/>
        <v>128.4961111</v>
      </c>
      <c r="O378" s="11">
        <f t="shared" si="3"/>
        <v>0.4809131019</v>
      </c>
    </row>
    <row r="379">
      <c r="A379" s="1" t="s">
        <v>1169</v>
      </c>
      <c r="B379" s="1" t="s">
        <v>1170</v>
      </c>
      <c r="C379" s="1" t="s">
        <v>1171</v>
      </c>
      <c r="D379" s="1">
        <v>61.0</v>
      </c>
      <c r="E379" s="1" t="s">
        <v>38</v>
      </c>
      <c r="F379" s="1">
        <v>963.0</v>
      </c>
      <c r="G379" s="1">
        <v>3326.0</v>
      </c>
      <c r="H379" s="1">
        <v>2691.0</v>
      </c>
      <c r="I379" s="7">
        <f>IFERROR(__xludf.DUMMYFUNCTION("SPLIT(B379,""T""""Z"")"),44130.0)</f>
        <v>44130</v>
      </c>
      <c r="J379" s="8">
        <f>IFERROR(__xludf.DUMMYFUNCTION("""COMPUTED_VALUE"""),0.18258101851851852)</f>
        <v>0.1825810185</v>
      </c>
      <c r="K379" s="9">
        <f t="shared" si="1"/>
        <v>1</v>
      </c>
      <c r="L379" s="7">
        <f>IFERROR(__xludf.DUMMYFUNCTION("SPLIT(C379,""T""""Z"")"),44798.0)</f>
        <v>44798</v>
      </c>
      <c r="M379" s="8">
        <f>IFERROR(__xludf.DUMMYFUNCTION("""COMPUTED_VALUE"""),0.6092361111111111)</f>
        <v>0.6092361111</v>
      </c>
      <c r="N379" s="10">
        <f t="shared" si="2"/>
        <v>134.6216667</v>
      </c>
      <c r="O379" s="11">
        <f t="shared" si="3"/>
        <v>0.8090799759</v>
      </c>
    </row>
    <row r="380">
      <c r="A380" s="1" t="s">
        <v>1172</v>
      </c>
      <c r="B380" s="1" t="s">
        <v>1173</v>
      </c>
      <c r="C380" s="1" t="s">
        <v>1174</v>
      </c>
      <c r="D380" s="1">
        <v>0.0</v>
      </c>
      <c r="E380" s="1" t="s">
        <v>621</v>
      </c>
      <c r="F380" s="1">
        <v>140.0</v>
      </c>
      <c r="G380" s="1">
        <v>38.0</v>
      </c>
      <c r="H380" s="1">
        <v>37.0</v>
      </c>
      <c r="I380" s="7">
        <f>IFERROR(__xludf.DUMMYFUNCTION("SPLIT(B380,""T""""Z"")"),43409.0)</f>
        <v>43409</v>
      </c>
      <c r="J380" s="8">
        <f>IFERROR(__xludf.DUMMYFUNCTION("""COMPUTED_VALUE"""),0.15586805555555555)</f>
        <v>0.1558680556</v>
      </c>
      <c r="K380" s="9">
        <f t="shared" si="1"/>
        <v>3</v>
      </c>
      <c r="L380" s="7">
        <f>IFERROR(__xludf.DUMMYFUNCTION("SPLIT(C380,""T""""Z"")"),44798.0)</f>
        <v>44798</v>
      </c>
      <c r="M380" s="8">
        <f>IFERROR(__xludf.DUMMYFUNCTION("""COMPUTED_VALUE"""),0.6016319444444445)</f>
        <v>0.6016319444</v>
      </c>
      <c r="N380" s="10">
        <f t="shared" si="2"/>
        <v>134.4391667</v>
      </c>
      <c r="O380" s="11">
        <f t="shared" si="3"/>
        <v>0.9736842105</v>
      </c>
    </row>
    <row r="381">
      <c r="A381" s="1" t="s">
        <v>1175</v>
      </c>
      <c r="B381" s="1" t="s">
        <v>1176</v>
      </c>
      <c r="C381" s="1" t="s">
        <v>578</v>
      </c>
      <c r="D381" s="1">
        <v>1.0</v>
      </c>
      <c r="E381" s="1" t="s">
        <v>38</v>
      </c>
      <c r="F381" s="1">
        <v>31.0</v>
      </c>
      <c r="G381" s="1">
        <v>674.0</v>
      </c>
      <c r="H381" s="1">
        <v>465.0</v>
      </c>
      <c r="I381" s="7">
        <f>IFERROR(__xludf.DUMMYFUNCTION("SPLIT(B381,""T""""Z"")"),42872.0)</f>
        <v>42872</v>
      </c>
      <c r="J381" s="8">
        <f>IFERROR(__xludf.DUMMYFUNCTION("""COMPUTED_VALUE"""),0.5164351851851852)</f>
        <v>0.5164351852</v>
      </c>
      <c r="K381" s="9">
        <f t="shared" si="1"/>
        <v>5</v>
      </c>
      <c r="L381" s="7">
        <f>IFERROR(__xludf.DUMMYFUNCTION("SPLIT(C381,""T""""Z"")"),44798.0)</f>
        <v>44798</v>
      </c>
      <c r="M381" s="8">
        <f>IFERROR(__xludf.DUMMYFUNCTION("""COMPUTED_VALUE"""),0.519537037037037)</f>
        <v>0.519537037</v>
      </c>
      <c r="N381" s="10">
        <f t="shared" si="2"/>
        <v>132.4688889</v>
      </c>
      <c r="O381" s="11">
        <f t="shared" si="3"/>
        <v>0.6899109792</v>
      </c>
    </row>
    <row r="382">
      <c r="A382" s="1" t="s">
        <v>1177</v>
      </c>
      <c r="B382" s="1" t="s">
        <v>1178</v>
      </c>
      <c r="C382" s="1" t="s">
        <v>1179</v>
      </c>
      <c r="D382" s="1">
        <v>21.0</v>
      </c>
      <c r="E382" s="1" t="s">
        <v>95</v>
      </c>
      <c r="F382" s="1">
        <v>12.0</v>
      </c>
      <c r="G382" s="1">
        <v>3319.0</v>
      </c>
      <c r="H382" s="1">
        <v>3299.0</v>
      </c>
      <c r="I382" s="7">
        <f>IFERROR(__xludf.DUMMYFUNCTION("SPLIT(B382,""T""""Z"")"),43430.0)</f>
        <v>43430</v>
      </c>
      <c r="J382" s="8">
        <f>IFERROR(__xludf.DUMMYFUNCTION("""COMPUTED_VALUE"""),0.4444444444444444)</f>
        <v>0.4444444444</v>
      </c>
      <c r="K382" s="9">
        <f t="shared" si="1"/>
        <v>3</v>
      </c>
      <c r="L382" s="7">
        <f>IFERROR(__xludf.DUMMYFUNCTION("SPLIT(C382,""T""""Z"")"),44798.0)</f>
        <v>44798</v>
      </c>
      <c r="M382" s="8">
        <f>IFERROR(__xludf.DUMMYFUNCTION("""COMPUTED_VALUE"""),0.5261226851851852)</f>
        <v>0.5261226852</v>
      </c>
      <c r="N382" s="10">
        <f t="shared" si="2"/>
        <v>132.6269444</v>
      </c>
      <c r="O382" s="11">
        <f t="shared" si="3"/>
        <v>0.9939740886</v>
      </c>
    </row>
    <row r="383">
      <c r="A383" s="1" t="s">
        <v>1180</v>
      </c>
      <c r="B383" s="1" t="s">
        <v>1181</v>
      </c>
      <c r="C383" s="1" t="s">
        <v>1182</v>
      </c>
      <c r="D383" s="1">
        <v>29.0</v>
      </c>
      <c r="E383" s="1" t="s">
        <v>68</v>
      </c>
      <c r="F383" s="1">
        <v>112.0</v>
      </c>
      <c r="G383" s="1">
        <v>1824.0</v>
      </c>
      <c r="H383" s="1">
        <v>1801.0</v>
      </c>
      <c r="I383" s="7">
        <f>IFERROR(__xludf.DUMMYFUNCTION("SPLIT(B383,""T""""Z"")"),43520.0)</f>
        <v>43520</v>
      </c>
      <c r="J383" s="8">
        <f>IFERROR(__xludf.DUMMYFUNCTION("""COMPUTED_VALUE"""),0.7984375)</f>
        <v>0.7984375</v>
      </c>
      <c r="K383" s="9">
        <f t="shared" si="1"/>
        <v>3</v>
      </c>
      <c r="L383" s="7">
        <f>IFERROR(__xludf.DUMMYFUNCTION("SPLIT(C383,""T""""Z"")"),44798.0)</f>
        <v>44798</v>
      </c>
      <c r="M383" s="8">
        <f>IFERROR(__xludf.DUMMYFUNCTION("""COMPUTED_VALUE"""),0.6042476851851852)</f>
        <v>0.6042476852</v>
      </c>
      <c r="N383" s="10">
        <f t="shared" si="2"/>
        <v>134.5019444</v>
      </c>
      <c r="O383" s="11">
        <f t="shared" si="3"/>
        <v>0.9873903509</v>
      </c>
    </row>
    <row r="384">
      <c r="A384" s="1" t="s">
        <v>1183</v>
      </c>
      <c r="B384" s="1" t="s">
        <v>1184</v>
      </c>
      <c r="C384" s="1" t="s">
        <v>1185</v>
      </c>
      <c r="D384" s="1">
        <v>26.0</v>
      </c>
      <c r="E384" s="1" t="s">
        <v>686</v>
      </c>
      <c r="F384" s="1">
        <v>60.0</v>
      </c>
      <c r="G384" s="1">
        <v>1287.0</v>
      </c>
      <c r="H384" s="1">
        <v>1028.0</v>
      </c>
      <c r="I384" s="7">
        <f>IFERROR(__xludf.DUMMYFUNCTION("SPLIT(B384,""T""""Z"")"),42531.0)</f>
        <v>42531</v>
      </c>
      <c r="J384" s="8">
        <f>IFERROR(__xludf.DUMMYFUNCTION("""COMPUTED_VALUE"""),0.49236111111111114)</f>
        <v>0.4923611111</v>
      </c>
      <c r="K384" s="9">
        <f t="shared" si="1"/>
        <v>6</v>
      </c>
      <c r="L384" s="7">
        <f>IFERROR(__xludf.DUMMYFUNCTION("SPLIT(C384,""T""""Z"")"),44798.0)</f>
        <v>44798</v>
      </c>
      <c r="M384" s="8">
        <f>IFERROR(__xludf.DUMMYFUNCTION("""COMPUTED_VALUE"""),0.38868055555555553)</f>
        <v>0.3886805556</v>
      </c>
      <c r="N384" s="10">
        <f t="shared" si="2"/>
        <v>129.3283333</v>
      </c>
      <c r="O384" s="11">
        <f t="shared" si="3"/>
        <v>0.7987567988</v>
      </c>
    </row>
    <row r="385">
      <c r="A385" s="1" t="s">
        <v>1186</v>
      </c>
      <c r="B385" s="1" t="s">
        <v>1187</v>
      </c>
      <c r="C385" s="1" t="s">
        <v>1188</v>
      </c>
      <c r="D385" s="1">
        <v>45.0</v>
      </c>
      <c r="E385" s="1" t="s">
        <v>124</v>
      </c>
      <c r="F385" s="1">
        <v>240.0</v>
      </c>
      <c r="G385" s="1">
        <v>1539.0</v>
      </c>
      <c r="H385" s="1">
        <v>1474.0</v>
      </c>
      <c r="I385" s="7">
        <f>IFERROR(__xludf.DUMMYFUNCTION("SPLIT(B385,""T""""Z"")"),43261.0)</f>
        <v>43261</v>
      </c>
      <c r="J385" s="8">
        <f>IFERROR(__xludf.DUMMYFUNCTION("""COMPUTED_VALUE"""),0.6029398148148148)</f>
        <v>0.6029398148</v>
      </c>
      <c r="K385" s="9">
        <f t="shared" si="1"/>
        <v>4</v>
      </c>
      <c r="L385" s="7">
        <f>IFERROR(__xludf.DUMMYFUNCTION("SPLIT(C385,""T""""Z"")"),44798.0)</f>
        <v>44798</v>
      </c>
      <c r="M385" s="8">
        <f>IFERROR(__xludf.DUMMYFUNCTION("""COMPUTED_VALUE"""),0.6032523148148148)</f>
        <v>0.6032523148</v>
      </c>
      <c r="N385" s="10">
        <f t="shared" si="2"/>
        <v>134.4780556</v>
      </c>
      <c r="O385" s="11">
        <f t="shared" si="3"/>
        <v>0.9577647823</v>
      </c>
    </row>
    <row r="386">
      <c r="A386" s="1" t="s">
        <v>1189</v>
      </c>
      <c r="B386" s="1" t="s">
        <v>1190</v>
      </c>
      <c r="C386" s="1" t="s">
        <v>1191</v>
      </c>
      <c r="D386" s="1">
        <v>21.0</v>
      </c>
      <c r="E386" s="1" t="s">
        <v>52</v>
      </c>
      <c r="F386" s="1">
        <v>58.0</v>
      </c>
      <c r="G386" s="1">
        <v>684.0</v>
      </c>
      <c r="H386" s="1">
        <v>516.0</v>
      </c>
      <c r="I386" s="7">
        <f>IFERROR(__xludf.DUMMYFUNCTION("SPLIT(B386,""T""""Z"")"),41878.0)</f>
        <v>41878</v>
      </c>
      <c r="J386" s="8">
        <f>IFERROR(__xludf.DUMMYFUNCTION("""COMPUTED_VALUE"""),0.8874074074074074)</f>
        <v>0.8874074074</v>
      </c>
      <c r="K386" s="9">
        <f t="shared" si="1"/>
        <v>8</v>
      </c>
      <c r="L386" s="7">
        <f>IFERROR(__xludf.DUMMYFUNCTION("SPLIT(C386,""T""""Z"")"),44798.0)</f>
        <v>44798</v>
      </c>
      <c r="M386" s="8">
        <f>IFERROR(__xludf.DUMMYFUNCTION("""COMPUTED_VALUE"""),0.6021527777777778)</f>
        <v>0.6021527778</v>
      </c>
      <c r="N386" s="10">
        <f t="shared" si="2"/>
        <v>134.4516667</v>
      </c>
      <c r="O386" s="11">
        <f t="shared" si="3"/>
        <v>0.7543859649</v>
      </c>
    </row>
    <row r="387">
      <c r="A387" s="1" t="s">
        <v>1192</v>
      </c>
      <c r="B387" s="1" t="s">
        <v>1193</v>
      </c>
      <c r="C387" s="1" t="s">
        <v>1194</v>
      </c>
      <c r="D387" s="1">
        <v>44.0</v>
      </c>
      <c r="E387" s="1" t="s">
        <v>95</v>
      </c>
      <c r="F387" s="1">
        <v>402.0</v>
      </c>
      <c r="G387" s="1">
        <v>1568.0</v>
      </c>
      <c r="H387" s="1">
        <v>1375.0</v>
      </c>
      <c r="I387" s="7">
        <f>IFERROR(__xludf.DUMMYFUNCTION("SPLIT(B387,""T""""Z"")"),43341.0)</f>
        <v>43341</v>
      </c>
      <c r="J387" s="8">
        <f>IFERROR(__xludf.DUMMYFUNCTION("""COMPUTED_VALUE"""),0.7194097222222222)</f>
        <v>0.7194097222</v>
      </c>
      <c r="K387" s="9">
        <f t="shared" si="1"/>
        <v>4</v>
      </c>
      <c r="L387" s="7">
        <f>IFERROR(__xludf.DUMMYFUNCTION("SPLIT(C387,""T""""Z"")"),44798.0)</f>
        <v>44798</v>
      </c>
      <c r="M387" s="8">
        <f>IFERROR(__xludf.DUMMYFUNCTION("""COMPUTED_VALUE"""),0.4915625)</f>
        <v>0.4915625</v>
      </c>
      <c r="N387" s="10">
        <f t="shared" si="2"/>
        <v>131.7975</v>
      </c>
      <c r="O387" s="11">
        <f t="shared" si="3"/>
        <v>0.8769132653</v>
      </c>
    </row>
    <row r="388">
      <c r="A388" s="1" t="s">
        <v>1195</v>
      </c>
      <c r="B388" s="1" t="s">
        <v>1196</v>
      </c>
      <c r="C388" s="1" t="s">
        <v>1197</v>
      </c>
      <c r="D388" s="1">
        <v>0.0</v>
      </c>
      <c r="E388" s="1" t="s">
        <v>48</v>
      </c>
      <c r="F388" s="1">
        <v>156.0</v>
      </c>
      <c r="G388" s="1">
        <v>60.0</v>
      </c>
      <c r="H388" s="1">
        <v>41.0</v>
      </c>
      <c r="I388" s="7">
        <f>IFERROR(__xludf.DUMMYFUNCTION("SPLIT(B388,""T""""Z"")"),43048.0)</f>
        <v>43048</v>
      </c>
      <c r="J388" s="8">
        <f>IFERROR(__xludf.DUMMYFUNCTION("""COMPUTED_VALUE"""),0.11614583333333334)</f>
        <v>0.1161458333</v>
      </c>
      <c r="K388" s="9">
        <f t="shared" si="1"/>
        <v>4</v>
      </c>
      <c r="L388" s="7">
        <f>IFERROR(__xludf.DUMMYFUNCTION("SPLIT(C388,""T""""Z"")"),44798.0)</f>
        <v>44798</v>
      </c>
      <c r="M388" s="8">
        <f>IFERROR(__xludf.DUMMYFUNCTION("""COMPUTED_VALUE"""),0.5711458333333334)</f>
        <v>0.5711458333</v>
      </c>
      <c r="N388" s="10">
        <f t="shared" si="2"/>
        <v>133.7075</v>
      </c>
      <c r="O388" s="11">
        <f t="shared" si="3"/>
        <v>0.6833333333</v>
      </c>
    </row>
    <row r="389">
      <c r="A389" s="1" t="s">
        <v>1198</v>
      </c>
      <c r="B389" s="1" t="s">
        <v>1199</v>
      </c>
      <c r="C389" s="1" t="s">
        <v>1200</v>
      </c>
      <c r="D389" s="1">
        <v>111.0</v>
      </c>
      <c r="E389" s="1" t="s">
        <v>1201</v>
      </c>
      <c r="F389" s="1">
        <v>7396.0</v>
      </c>
      <c r="G389" s="1">
        <v>6158.0</v>
      </c>
      <c r="H389" s="1">
        <v>5526.0</v>
      </c>
      <c r="I389" s="7">
        <f>IFERROR(__xludf.DUMMYFUNCTION("SPLIT(B389,""T""""Z"")"),43504.0)</f>
        <v>43504</v>
      </c>
      <c r="J389" s="8">
        <f>IFERROR(__xludf.DUMMYFUNCTION("""COMPUTED_VALUE"""),0.12298611111111112)</f>
        <v>0.1229861111</v>
      </c>
      <c r="K389" s="9">
        <f t="shared" si="1"/>
        <v>3</v>
      </c>
      <c r="L389" s="7">
        <f>IFERROR(__xludf.DUMMYFUNCTION("SPLIT(C389,""T""""Z"")"),44798.0)</f>
        <v>44798</v>
      </c>
      <c r="M389" s="8">
        <f>IFERROR(__xludf.DUMMYFUNCTION("""COMPUTED_VALUE"""),0.5673958333333333)</f>
        <v>0.5673958333</v>
      </c>
      <c r="N389" s="10">
        <f t="shared" si="2"/>
        <v>133.6175</v>
      </c>
      <c r="O389" s="11">
        <f t="shared" si="3"/>
        <v>0.8973692757</v>
      </c>
    </row>
    <row r="390">
      <c r="A390" s="1" t="s">
        <v>1202</v>
      </c>
      <c r="B390" s="1" t="s">
        <v>1203</v>
      </c>
      <c r="C390" s="1" t="s">
        <v>995</v>
      </c>
      <c r="D390" s="1">
        <v>473.0</v>
      </c>
      <c r="E390" s="1" t="s">
        <v>18</v>
      </c>
      <c r="F390" s="1">
        <v>1664.0</v>
      </c>
      <c r="G390" s="1">
        <v>3307.0</v>
      </c>
      <c r="H390" s="1">
        <v>3306.0</v>
      </c>
      <c r="I390" s="7">
        <f>IFERROR(__xludf.DUMMYFUNCTION("SPLIT(B390,""T""""Z"")"),43529.0)</f>
        <v>43529</v>
      </c>
      <c r="J390" s="8">
        <f>IFERROR(__xludf.DUMMYFUNCTION("""COMPUTED_VALUE"""),0.991087962962963)</f>
        <v>0.991087963</v>
      </c>
      <c r="K390" s="9">
        <f t="shared" si="1"/>
        <v>3</v>
      </c>
      <c r="L390" s="7">
        <f>IFERROR(__xludf.DUMMYFUNCTION("SPLIT(C390,""T""""Z"")"),44798.0)</f>
        <v>44798</v>
      </c>
      <c r="M390" s="8">
        <f>IFERROR(__xludf.DUMMYFUNCTION("""COMPUTED_VALUE"""),0.6065277777777778)</f>
        <v>0.6065277778</v>
      </c>
      <c r="N390" s="10">
        <f t="shared" si="2"/>
        <v>134.5566667</v>
      </c>
      <c r="O390" s="11">
        <f t="shared" si="3"/>
        <v>0.9996976111</v>
      </c>
    </row>
    <row r="391">
      <c r="A391" s="1" t="s">
        <v>1204</v>
      </c>
      <c r="B391" s="1" t="s">
        <v>1205</v>
      </c>
      <c r="C391" s="1" t="s">
        <v>1206</v>
      </c>
      <c r="D391" s="1">
        <v>9.0</v>
      </c>
      <c r="E391" s="1" t="s">
        <v>38</v>
      </c>
      <c r="F391" s="1">
        <v>1579.0</v>
      </c>
      <c r="G391" s="1">
        <v>6376.0</v>
      </c>
      <c r="H391" s="1">
        <v>6092.0</v>
      </c>
      <c r="I391" s="7">
        <f>IFERROR(__xludf.DUMMYFUNCTION("SPLIT(B391,""T""""Z"")"),43969.0)</f>
        <v>43969</v>
      </c>
      <c r="J391" s="8">
        <f>IFERROR(__xludf.DUMMYFUNCTION("""COMPUTED_VALUE"""),0.15637731481481482)</f>
        <v>0.1563773148</v>
      </c>
      <c r="K391" s="9">
        <f t="shared" si="1"/>
        <v>2</v>
      </c>
      <c r="L391" s="7">
        <f>IFERROR(__xludf.DUMMYFUNCTION("SPLIT(C391,""T""""Z"")"),44798.0)</f>
        <v>44798</v>
      </c>
      <c r="M391" s="8">
        <f>IFERROR(__xludf.DUMMYFUNCTION("""COMPUTED_VALUE"""),0.5818634259259259)</f>
        <v>0.5818634259</v>
      </c>
      <c r="N391" s="10">
        <f t="shared" si="2"/>
        <v>133.9647222</v>
      </c>
      <c r="O391" s="11">
        <f t="shared" si="3"/>
        <v>0.9554579674</v>
      </c>
    </row>
    <row r="392">
      <c r="A392" s="1" t="s">
        <v>1207</v>
      </c>
      <c r="B392" s="1" t="s">
        <v>1208</v>
      </c>
      <c r="C392" s="1" t="s">
        <v>1209</v>
      </c>
      <c r="D392" s="1">
        <v>0.0</v>
      </c>
      <c r="E392" s="1" t="s">
        <v>38</v>
      </c>
      <c r="F392" s="1">
        <v>122.0</v>
      </c>
      <c r="G392" s="1">
        <v>212.0</v>
      </c>
      <c r="H392" s="1">
        <v>121.0</v>
      </c>
      <c r="I392" s="7">
        <f>IFERROR(__xludf.DUMMYFUNCTION("SPLIT(B392,""T""""Z"")"),42862.0)</f>
        <v>42862</v>
      </c>
      <c r="J392" s="8">
        <f>IFERROR(__xludf.DUMMYFUNCTION("""COMPUTED_VALUE"""),0.903425925925926)</f>
        <v>0.9034259259</v>
      </c>
      <c r="K392" s="9">
        <f t="shared" si="1"/>
        <v>5</v>
      </c>
      <c r="L392" s="7">
        <f>IFERROR(__xludf.DUMMYFUNCTION("SPLIT(C392,""T""""Z"")"),44798.0)</f>
        <v>44798</v>
      </c>
      <c r="M392" s="8">
        <f>IFERROR(__xludf.DUMMYFUNCTION("""COMPUTED_VALUE"""),0.6081481481481481)</f>
        <v>0.6081481481</v>
      </c>
      <c r="N392" s="10">
        <f t="shared" si="2"/>
        <v>134.5955556</v>
      </c>
      <c r="O392" s="11">
        <f t="shared" si="3"/>
        <v>0.570754717</v>
      </c>
    </row>
    <row r="393">
      <c r="A393" s="1" t="s">
        <v>1210</v>
      </c>
      <c r="B393" s="1" t="s">
        <v>1211</v>
      </c>
      <c r="C393" s="1" t="s">
        <v>1212</v>
      </c>
      <c r="D393" s="1">
        <v>0.0</v>
      </c>
      <c r="E393" s="1" t="s">
        <v>38</v>
      </c>
      <c r="F393" s="1">
        <v>13.0</v>
      </c>
      <c r="G393" s="1">
        <v>45.0</v>
      </c>
      <c r="H393" s="1">
        <v>37.0</v>
      </c>
      <c r="I393" s="7">
        <f>IFERROR(__xludf.DUMMYFUNCTION("SPLIT(B393,""T""""Z"")"),43125.0)</f>
        <v>43125</v>
      </c>
      <c r="J393" s="8">
        <f>IFERROR(__xludf.DUMMYFUNCTION("""COMPUTED_VALUE"""),0.1783912037037037)</f>
        <v>0.1783912037</v>
      </c>
      <c r="K393" s="9">
        <f t="shared" si="1"/>
        <v>4</v>
      </c>
      <c r="L393" s="7">
        <f>IFERROR(__xludf.DUMMYFUNCTION("SPLIT(C393,""T""""Z"")"),44798.0)</f>
        <v>44798</v>
      </c>
      <c r="M393" s="8">
        <f>IFERROR(__xludf.DUMMYFUNCTION("""COMPUTED_VALUE"""),0.5679861111111111)</f>
        <v>0.5679861111</v>
      </c>
      <c r="N393" s="10">
        <f t="shared" si="2"/>
        <v>133.6316667</v>
      </c>
      <c r="O393" s="11">
        <f t="shared" si="3"/>
        <v>0.8222222222</v>
      </c>
    </row>
    <row r="394">
      <c r="A394" s="1" t="s">
        <v>1213</v>
      </c>
      <c r="B394" s="1" t="s">
        <v>1214</v>
      </c>
      <c r="C394" s="1" t="s">
        <v>1215</v>
      </c>
      <c r="D394" s="1">
        <v>28.0</v>
      </c>
      <c r="E394" s="1" t="s">
        <v>95</v>
      </c>
      <c r="F394" s="1">
        <v>207.0</v>
      </c>
      <c r="G394" s="1">
        <v>1167.0</v>
      </c>
      <c r="H394" s="1">
        <v>1161.0</v>
      </c>
      <c r="I394" s="7">
        <f>IFERROR(__xludf.DUMMYFUNCTION("SPLIT(B394,""T""""Z"")"),40828.0)</f>
        <v>40828</v>
      </c>
      <c r="J394" s="8">
        <f>IFERROR(__xludf.DUMMYFUNCTION("""COMPUTED_VALUE"""),0.5885069444444444)</f>
        <v>0.5885069444</v>
      </c>
      <c r="K394" s="9">
        <f t="shared" si="1"/>
        <v>10</v>
      </c>
      <c r="L394" s="7">
        <f>IFERROR(__xludf.DUMMYFUNCTION("SPLIT(C394,""T""""Z"")"),44798.0)</f>
        <v>44798</v>
      </c>
      <c r="M394" s="8">
        <f>IFERROR(__xludf.DUMMYFUNCTION("""COMPUTED_VALUE"""),0.5999537037037037)</f>
        <v>0.5999537037</v>
      </c>
      <c r="N394" s="10">
        <f t="shared" si="2"/>
        <v>134.3988889</v>
      </c>
      <c r="O394" s="11">
        <f t="shared" si="3"/>
        <v>0.9948586118</v>
      </c>
    </row>
    <row r="395">
      <c r="A395" s="1" t="s">
        <v>1216</v>
      </c>
      <c r="B395" s="1" t="s">
        <v>1217</v>
      </c>
      <c r="C395" s="1" t="s">
        <v>1218</v>
      </c>
      <c r="D395" s="1">
        <v>170.0</v>
      </c>
      <c r="E395" s="1" t="s">
        <v>439</v>
      </c>
      <c r="F395" s="1">
        <v>10045.0</v>
      </c>
      <c r="G395" s="1">
        <v>6904.0</v>
      </c>
      <c r="H395" s="1">
        <v>4678.0</v>
      </c>
      <c r="I395" s="7">
        <f>IFERROR(__xludf.DUMMYFUNCTION("SPLIT(B395,""T""""Z"")"),42422.0)</f>
        <v>42422</v>
      </c>
      <c r="J395" s="8">
        <f>IFERROR(__xludf.DUMMYFUNCTION("""COMPUTED_VALUE"""),0.6259837962962963)</f>
        <v>0.6259837963</v>
      </c>
      <c r="K395" s="9">
        <f t="shared" si="1"/>
        <v>6</v>
      </c>
      <c r="L395" s="7">
        <f>IFERROR(__xludf.DUMMYFUNCTION("SPLIT(C395,""T""""Z"")"),44798.0)</f>
        <v>44798</v>
      </c>
      <c r="M395" s="8">
        <f>IFERROR(__xludf.DUMMYFUNCTION("""COMPUTED_VALUE"""),0.4657291666666667)</f>
        <v>0.4657291667</v>
      </c>
      <c r="N395" s="10">
        <f t="shared" si="2"/>
        <v>131.1775</v>
      </c>
      <c r="O395" s="11">
        <f t="shared" si="3"/>
        <v>0.6775782155</v>
      </c>
    </row>
    <row r="396">
      <c r="A396" s="1" t="s">
        <v>1219</v>
      </c>
      <c r="B396" s="1" t="s">
        <v>1220</v>
      </c>
      <c r="C396" s="1" t="s">
        <v>1221</v>
      </c>
      <c r="D396" s="1">
        <v>0.0</v>
      </c>
      <c r="E396" s="1" t="s">
        <v>95</v>
      </c>
      <c r="F396" s="1">
        <v>2764.0</v>
      </c>
      <c r="G396" s="1">
        <v>5889.0</v>
      </c>
      <c r="H396" s="1">
        <v>5374.0</v>
      </c>
      <c r="I396" s="7">
        <f>IFERROR(__xludf.DUMMYFUNCTION("SPLIT(B396,""T""""Z"")"),40491.0)</f>
        <v>40491</v>
      </c>
      <c r="J396" s="8">
        <f>IFERROR(__xludf.DUMMYFUNCTION("""COMPUTED_VALUE"""),0.3905208333333333)</f>
        <v>0.3905208333</v>
      </c>
      <c r="K396" s="9">
        <f t="shared" si="1"/>
        <v>11</v>
      </c>
      <c r="L396" s="7">
        <f>IFERROR(__xludf.DUMMYFUNCTION("SPLIT(C396,""T""""Z"")"),44798.0)</f>
        <v>44798</v>
      </c>
      <c r="M396" s="8">
        <f>IFERROR(__xludf.DUMMYFUNCTION("""COMPUTED_VALUE"""),0.5413310185185185)</f>
        <v>0.5413310185</v>
      </c>
      <c r="N396" s="10">
        <f t="shared" si="2"/>
        <v>132.9919444</v>
      </c>
      <c r="O396" s="11">
        <f t="shared" si="3"/>
        <v>0.9125488198</v>
      </c>
    </row>
    <row r="397">
      <c r="A397" s="1" t="s">
        <v>1222</v>
      </c>
      <c r="B397" s="1" t="s">
        <v>1223</v>
      </c>
      <c r="C397" s="1" t="s">
        <v>1224</v>
      </c>
      <c r="D397" s="1">
        <v>27.0</v>
      </c>
      <c r="E397" s="1" t="s">
        <v>1225</v>
      </c>
      <c r="F397" s="1">
        <v>252.0</v>
      </c>
      <c r="G397" s="1">
        <v>2231.0</v>
      </c>
      <c r="H397" s="1">
        <v>1458.0</v>
      </c>
      <c r="I397" s="7">
        <f>IFERROR(__xludf.DUMMYFUNCTION("SPLIT(B397,""T""""Z"")"),41230.0)</f>
        <v>41230</v>
      </c>
      <c r="J397" s="8">
        <f>IFERROR(__xludf.DUMMYFUNCTION("""COMPUTED_VALUE"""),0.13554398148148147)</f>
        <v>0.1355439815</v>
      </c>
      <c r="K397" s="9">
        <f t="shared" si="1"/>
        <v>9</v>
      </c>
      <c r="L397" s="7">
        <f>IFERROR(__xludf.DUMMYFUNCTION("SPLIT(C397,""T""""Z"")"),44798.0)</f>
        <v>44798</v>
      </c>
      <c r="M397" s="8">
        <f>IFERROR(__xludf.DUMMYFUNCTION("""COMPUTED_VALUE"""),0.544537037037037)</f>
        <v>0.544537037</v>
      </c>
      <c r="N397" s="10">
        <f t="shared" si="2"/>
        <v>133.0688889</v>
      </c>
      <c r="O397" s="11">
        <f t="shared" si="3"/>
        <v>0.6535186015</v>
      </c>
    </row>
    <row r="398">
      <c r="A398" s="1" t="s">
        <v>1226</v>
      </c>
      <c r="B398" s="1" t="s">
        <v>1227</v>
      </c>
      <c r="C398" s="1" t="s">
        <v>1228</v>
      </c>
      <c r="D398" s="1">
        <v>104.0</v>
      </c>
      <c r="E398" s="1" t="s">
        <v>18</v>
      </c>
      <c r="F398" s="1">
        <v>1021.0</v>
      </c>
      <c r="G398" s="1">
        <v>1470.0</v>
      </c>
      <c r="H398" s="1">
        <v>1136.0</v>
      </c>
      <c r="I398" s="7">
        <f>IFERROR(__xludf.DUMMYFUNCTION("SPLIT(B398,""T""""Z"")"),41918.0)</f>
        <v>41918</v>
      </c>
      <c r="J398" s="8">
        <f>IFERROR(__xludf.DUMMYFUNCTION("""COMPUTED_VALUE"""),0.433587962962963)</f>
        <v>0.433587963</v>
      </c>
      <c r="K398" s="9">
        <f t="shared" si="1"/>
        <v>7</v>
      </c>
      <c r="L398" s="7">
        <f>IFERROR(__xludf.DUMMYFUNCTION("SPLIT(C398,""T""""Z"")"),44798.0)</f>
        <v>44798</v>
      </c>
      <c r="M398" s="8">
        <f>IFERROR(__xludf.DUMMYFUNCTION("""COMPUTED_VALUE"""),0.5558796296296297)</f>
        <v>0.5558796296</v>
      </c>
      <c r="N398" s="10">
        <f t="shared" si="2"/>
        <v>133.3411111</v>
      </c>
      <c r="O398" s="11">
        <f t="shared" si="3"/>
        <v>0.7727891156</v>
      </c>
    </row>
    <row r="399">
      <c r="A399" s="1" t="s">
        <v>1229</v>
      </c>
      <c r="B399" s="1" t="s">
        <v>1230</v>
      </c>
      <c r="C399" s="1" t="s">
        <v>1231</v>
      </c>
      <c r="D399" s="1">
        <v>113.0</v>
      </c>
      <c r="E399" s="1" t="s">
        <v>124</v>
      </c>
      <c r="F399" s="1">
        <v>1434.0</v>
      </c>
      <c r="G399" s="1">
        <v>2917.0</v>
      </c>
      <c r="H399" s="1">
        <v>2547.0</v>
      </c>
      <c r="I399" s="7">
        <f>IFERROR(__xludf.DUMMYFUNCTION("SPLIT(B399,""T""""Z"")"),43741.0)</f>
        <v>43741</v>
      </c>
      <c r="J399" s="8">
        <f>IFERROR(__xludf.DUMMYFUNCTION("""COMPUTED_VALUE"""),0.6422800925925926)</f>
        <v>0.6422800926</v>
      </c>
      <c r="K399" s="9">
        <f t="shared" si="1"/>
        <v>2</v>
      </c>
      <c r="L399" s="7">
        <f>IFERROR(__xludf.DUMMYFUNCTION("SPLIT(C399,""T""""Z"")"),44798.0)</f>
        <v>44798</v>
      </c>
      <c r="M399" s="8">
        <f>IFERROR(__xludf.DUMMYFUNCTION("""COMPUTED_VALUE"""),0.6091435185185186)</f>
        <v>0.6091435185</v>
      </c>
      <c r="N399" s="10">
        <f t="shared" si="2"/>
        <v>134.6194444</v>
      </c>
      <c r="O399" s="11">
        <f t="shared" si="3"/>
        <v>0.8731573534</v>
      </c>
    </row>
    <row r="400">
      <c r="A400" s="1" t="s">
        <v>1232</v>
      </c>
      <c r="B400" s="1" t="s">
        <v>1233</v>
      </c>
      <c r="C400" s="1" t="s">
        <v>1234</v>
      </c>
      <c r="D400" s="1">
        <v>67.0</v>
      </c>
      <c r="E400" s="1" t="s">
        <v>18</v>
      </c>
      <c r="F400" s="1">
        <v>931.0</v>
      </c>
      <c r="G400" s="1">
        <v>1340.0</v>
      </c>
      <c r="H400" s="1">
        <v>964.0</v>
      </c>
      <c r="I400" s="7">
        <f>IFERROR(__xludf.DUMMYFUNCTION("SPLIT(B400,""T""""Z"")"),43037.0)</f>
        <v>43037</v>
      </c>
      <c r="J400" s="8">
        <f>IFERROR(__xludf.DUMMYFUNCTION("""COMPUTED_VALUE"""),0.7859722222222222)</f>
        <v>0.7859722222</v>
      </c>
      <c r="K400" s="9">
        <f t="shared" si="1"/>
        <v>4</v>
      </c>
      <c r="L400" s="7">
        <f>IFERROR(__xludf.DUMMYFUNCTION("SPLIT(C400,""T""""Z"")"),44798.0)</f>
        <v>44798</v>
      </c>
      <c r="M400" s="8">
        <f>IFERROR(__xludf.DUMMYFUNCTION("""COMPUTED_VALUE"""),0.6058449074074074)</f>
        <v>0.6058449074</v>
      </c>
      <c r="N400" s="10">
        <f t="shared" si="2"/>
        <v>134.5402778</v>
      </c>
      <c r="O400" s="11">
        <f t="shared" si="3"/>
        <v>0.7194029851</v>
      </c>
    </row>
    <row r="401">
      <c r="A401" s="1" t="s">
        <v>1235</v>
      </c>
      <c r="B401" s="1" t="s">
        <v>1236</v>
      </c>
      <c r="C401" s="1" t="s">
        <v>1237</v>
      </c>
      <c r="D401" s="1">
        <v>292.0</v>
      </c>
      <c r="E401" s="1" t="s">
        <v>253</v>
      </c>
      <c r="F401" s="1">
        <v>11655.0</v>
      </c>
      <c r="G401" s="1">
        <v>11623.0</v>
      </c>
      <c r="H401" s="1">
        <v>9520.0</v>
      </c>
      <c r="I401" s="7">
        <f>IFERROR(__xludf.DUMMYFUNCTION("SPLIT(B401,""T""""Z"")"),42037.0)</f>
        <v>42037</v>
      </c>
      <c r="J401" s="8">
        <f>IFERROR(__xludf.DUMMYFUNCTION("""COMPUTED_VALUE"""),0.8095717592592593)</f>
        <v>0.8095717593</v>
      </c>
      <c r="K401" s="9">
        <f t="shared" si="1"/>
        <v>7</v>
      </c>
      <c r="L401" s="7">
        <f>IFERROR(__xludf.DUMMYFUNCTION("SPLIT(C401,""T""""Z"")"),44798.0)</f>
        <v>44798</v>
      </c>
      <c r="M401" s="8">
        <f>IFERROR(__xludf.DUMMYFUNCTION("""COMPUTED_VALUE"""),0.6033564814814815)</f>
        <v>0.6033564815</v>
      </c>
      <c r="N401" s="10">
        <f t="shared" si="2"/>
        <v>134.4805556</v>
      </c>
      <c r="O401" s="11">
        <f t="shared" si="3"/>
        <v>0.8190656457</v>
      </c>
    </row>
    <row r="402">
      <c r="A402" s="1" t="s">
        <v>1238</v>
      </c>
      <c r="B402" s="1" t="s">
        <v>1239</v>
      </c>
      <c r="C402" s="1" t="s">
        <v>1240</v>
      </c>
      <c r="D402" s="1">
        <v>0.0</v>
      </c>
      <c r="E402" s="1" t="s">
        <v>439</v>
      </c>
      <c r="F402" s="1">
        <v>456.0</v>
      </c>
      <c r="G402" s="1">
        <v>1017.0</v>
      </c>
      <c r="H402" s="1">
        <v>906.0</v>
      </c>
      <c r="I402" s="7">
        <f>IFERROR(__xludf.DUMMYFUNCTION("SPLIT(B402,""T""""Z"")"),41571.0)</f>
        <v>41571</v>
      </c>
      <c r="J402" s="8">
        <f>IFERROR(__xludf.DUMMYFUNCTION("""COMPUTED_VALUE"""),0.7611921296296297)</f>
        <v>0.7611921296</v>
      </c>
      <c r="K402" s="9">
        <f t="shared" si="1"/>
        <v>8</v>
      </c>
      <c r="L402" s="7">
        <f>IFERROR(__xludf.DUMMYFUNCTION("SPLIT(C402,""T""""Z"")"),44798.0)</f>
        <v>44798</v>
      </c>
      <c r="M402" s="8">
        <f>IFERROR(__xludf.DUMMYFUNCTION("""COMPUTED_VALUE"""),0.5966898148148149)</f>
        <v>0.5966898148</v>
      </c>
      <c r="N402" s="10">
        <f t="shared" si="2"/>
        <v>134.3205556</v>
      </c>
      <c r="O402" s="11">
        <f t="shared" si="3"/>
        <v>0.8908554572</v>
      </c>
    </row>
    <row r="403">
      <c r="A403" s="1" t="s">
        <v>1241</v>
      </c>
      <c r="B403" s="1" t="s">
        <v>1242</v>
      </c>
      <c r="C403" s="1" t="s">
        <v>783</v>
      </c>
      <c r="D403" s="1">
        <v>392.0</v>
      </c>
      <c r="E403" s="1" t="s">
        <v>18</v>
      </c>
      <c r="F403" s="1">
        <v>979.0</v>
      </c>
      <c r="G403" s="1">
        <v>1016.0</v>
      </c>
      <c r="H403" s="1">
        <v>993.0</v>
      </c>
      <c r="I403" s="7">
        <f>IFERROR(__xludf.DUMMYFUNCTION("SPLIT(B403,""T""""Z"")"),43718.0)</f>
        <v>43718</v>
      </c>
      <c r="J403" s="8">
        <f>IFERROR(__xludf.DUMMYFUNCTION("""COMPUTED_VALUE"""),0.8083101851851852)</f>
        <v>0.8083101852</v>
      </c>
      <c r="K403" s="9">
        <f t="shared" si="1"/>
        <v>2</v>
      </c>
      <c r="L403" s="7">
        <f>IFERROR(__xludf.DUMMYFUNCTION("SPLIT(C403,""T""""Z"")"),44798.0)</f>
        <v>44798</v>
      </c>
      <c r="M403" s="8">
        <f>IFERROR(__xludf.DUMMYFUNCTION("""COMPUTED_VALUE"""),0.5931018518518518)</f>
        <v>0.5931018519</v>
      </c>
      <c r="N403" s="10">
        <f t="shared" si="2"/>
        <v>134.2344444</v>
      </c>
      <c r="O403" s="11">
        <f t="shared" si="3"/>
        <v>0.9773622047</v>
      </c>
    </row>
    <row r="404">
      <c r="A404" s="1" t="s">
        <v>1243</v>
      </c>
      <c r="B404" s="1" t="s">
        <v>1244</v>
      </c>
      <c r="C404" s="1" t="s">
        <v>1245</v>
      </c>
      <c r="D404" s="1">
        <v>177.0</v>
      </c>
      <c r="E404" s="1" t="s">
        <v>48</v>
      </c>
      <c r="F404" s="1">
        <v>1256.0</v>
      </c>
      <c r="G404" s="1">
        <v>5373.0</v>
      </c>
      <c r="H404" s="1">
        <v>4514.0</v>
      </c>
      <c r="I404" s="7">
        <f>IFERROR(__xludf.DUMMYFUNCTION("SPLIT(B404,""T""""Z"")"),42364.0)</f>
        <v>42364</v>
      </c>
      <c r="J404" s="8">
        <f>IFERROR(__xludf.DUMMYFUNCTION("""COMPUTED_VALUE"""),0.9662037037037037)</f>
        <v>0.9662037037</v>
      </c>
      <c r="K404" s="9">
        <f t="shared" si="1"/>
        <v>6</v>
      </c>
      <c r="L404" s="7">
        <f>IFERROR(__xludf.DUMMYFUNCTION("SPLIT(C404,""T""""Z"")"),44798.0)</f>
        <v>44798</v>
      </c>
      <c r="M404" s="8">
        <f>IFERROR(__xludf.DUMMYFUNCTION("""COMPUTED_VALUE"""),0.22550925925925927)</f>
        <v>0.2255092593</v>
      </c>
      <c r="N404" s="10">
        <f t="shared" si="2"/>
        <v>125.4122222</v>
      </c>
      <c r="O404" s="11">
        <f t="shared" si="3"/>
        <v>0.8401265587</v>
      </c>
    </row>
    <row r="405">
      <c r="A405" s="1" t="s">
        <v>1246</v>
      </c>
      <c r="B405" s="1" t="s">
        <v>1247</v>
      </c>
      <c r="C405" s="1" t="s">
        <v>1248</v>
      </c>
      <c r="D405" s="1">
        <v>2.0</v>
      </c>
      <c r="E405" s="1" t="s">
        <v>124</v>
      </c>
      <c r="F405" s="1">
        <v>549.0</v>
      </c>
      <c r="G405" s="1">
        <v>4619.0</v>
      </c>
      <c r="H405" s="1">
        <v>4473.0</v>
      </c>
      <c r="I405" s="7">
        <f>IFERROR(__xludf.DUMMYFUNCTION("SPLIT(B405,""T""""Z"")"),41572.0)</f>
        <v>41572</v>
      </c>
      <c r="J405" s="8">
        <f>IFERROR(__xludf.DUMMYFUNCTION("""COMPUTED_VALUE"""),0.35530092592592594)</f>
        <v>0.3553009259</v>
      </c>
      <c r="K405" s="9">
        <f t="shared" si="1"/>
        <v>8</v>
      </c>
      <c r="L405" s="7">
        <f>IFERROR(__xludf.DUMMYFUNCTION("SPLIT(C405,""T""""Z"")"),44798.0)</f>
        <v>44798</v>
      </c>
      <c r="M405" s="8">
        <f>IFERROR(__xludf.DUMMYFUNCTION("""COMPUTED_VALUE"""),0.5273611111111111)</f>
        <v>0.5273611111</v>
      </c>
      <c r="N405" s="10">
        <f t="shared" si="2"/>
        <v>132.6566667</v>
      </c>
      <c r="O405" s="11">
        <f t="shared" si="3"/>
        <v>0.9683914267</v>
      </c>
    </row>
    <row r="406">
      <c r="A406" s="1" t="s">
        <v>1249</v>
      </c>
      <c r="B406" s="1" t="s">
        <v>1250</v>
      </c>
      <c r="C406" s="1" t="s">
        <v>735</v>
      </c>
      <c r="D406" s="1">
        <v>157.0</v>
      </c>
      <c r="E406" s="1" t="s">
        <v>193</v>
      </c>
      <c r="F406" s="1">
        <v>11523.0</v>
      </c>
      <c r="G406" s="1">
        <v>26566.0</v>
      </c>
      <c r="H406" s="1">
        <v>24229.0</v>
      </c>
      <c r="I406" s="7">
        <f>IFERROR(__xludf.DUMMYFUNCTION("SPLIT(B406,""T""""Z"")"),41709.0)</f>
        <v>41709</v>
      </c>
      <c r="J406" s="8">
        <f>IFERROR(__xludf.DUMMYFUNCTION("""COMPUTED_VALUE"""),0.2567361111111111)</f>
        <v>0.2567361111</v>
      </c>
      <c r="K406" s="9">
        <f t="shared" si="1"/>
        <v>8</v>
      </c>
      <c r="L406" s="7">
        <f>IFERROR(__xludf.DUMMYFUNCTION("SPLIT(C406,""T""""Z"")"),44798.0)</f>
        <v>44798</v>
      </c>
      <c r="M406" s="8">
        <f>IFERROR(__xludf.DUMMYFUNCTION("""COMPUTED_VALUE"""),0.601087962962963)</f>
        <v>0.601087963</v>
      </c>
      <c r="N406" s="10">
        <f t="shared" si="2"/>
        <v>134.4261111</v>
      </c>
      <c r="O406" s="11">
        <f t="shared" si="3"/>
        <v>0.9120304148</v>
      </c>
    </row>
    <row r="407">
      <c r="A407" s="1" t="s">
        <v>1251</v>
      </c>
      <c r="B407" s="1" t="s">
        <v>1252</v>
      </c>
      <c r="C407" s="1" t="s">
        <v>1253</v>
      </c>
      <c r="D407" s="1">
        <v>0.0</v>
      </c>
      <c r="E407" s="13" t="s">
        <v>22</v>
      </c>
      <c r="F407" s="1">
        <v>86.0</v>
      </c>
      <c r="G407" s="1">
        <v>87.0</v>
      </c>
      <c r="H407" s="1">
        <v>73.0</v>
      </c>
      <c r="I407" s="7">
        <f>IFERROR(__xludf.DUMMYFUNCTION("SPLIT(B407,""T""""Z"")"),42480.0)</f>
        <v>42480</v>
      </c>
      <c r="J407" s="8">
        <f>IFERROR(__xludf.DUMMYFUNCTION("""COMPUTED_VALUE"""),0.8372337962962964)</f>
        <v>0.8372337963</v>
      </c>
      <c r="K407" s="9">
        <f t="shared" si="1"/>
        <v>6</v>
      </c>
      <c r="L407" s="7">
        <f>IFERROR(__xludf.DUMMYFUNCTION("SPLIT(C407,""T""""Z"")"),44797.0)</f>
        <v>44797</v>
      </c>
      <c r="M407" s="8">
        <f>IFERROR(__xludf.DUMMYFUNCTION("""COMPUTED_VALUE"""),0.5247222222222222)</f>
        <v>0.5247222222</v>
      </c>
      <c r="N407" s="12">
        <f t="shared" si="2"/>
        <v>156.5933333</v>
      </c>
      <c r="O407" s="11">
        <f t="shared" si="3"/>
        <v>0.8390804598</v>
      </c>
    </row>
    <row r="408">
      <c r="A408" s="1" t="s">
        <v>1254</v>
      </c>
      <c r="B408" s="1" t="s">
        <v>1255</v>
      </c>
      <c r="C408" s="1" t="s">
        <v>1256</v>
      </c>
      <c r="D408" s="1">
        <v>76.0</v>
      </c>
      <c r="E408" s="1" t="s">
        <v>347</v>
      </c>
      <c r="F408" s="1">
        <v>2950.0</v>
      </c>
      <c r="G408" s="1">
        <v>8148.0</v>
      </c>
      <c r="H408" s="1">
        <v>8126.0</v>
      </c>
      <c r="I408" s="7">
        <f>IFERROR(__xludf.DUMMYFUNCTION("SPLIT(B408,""T""""Z"")"),40829.0)</f>
        <v>40829</v>
      </c>
      <c r="J408" s="8">
        <f>IFERROR(__xludf.DUMMYFUNCTION("""COMPUTED_VALUE"""),0.9622916666666667)</f>
        <v>0.9622916667</v>
      </c>
      <c r="K408" s="9">
        <f t="shared" si="1"/>
        <v>10</v>
      </c>
      <c r="L408" s="7">
        <f>IFERROR(__xludf.DUMMYFUNCTION("SPLIT(C408,""T""""Z"")"),44797.0)</f>
        <v>44797</v>
      </c>
      <c r="M408" s="8">
        <f>IFERROR(__xludf.DUMMYFUNCTION("""COMPUTED_VALUE"""),0.1387962962962963)</f>
        <v>0.1387962963</v>
      </c>
      <c r="N408" s="10">
        <f t="shared" si="2"/>
        <v>147.3311111</v>
      </c>
      <c r="O408" s="11">
        <f t="shared" si="3"/>
        <v>0.9972999509</v>
      </c>
    </row>
    <row r="409">
      <c r="A409" s="1" t="s">
        <v>1257</v>
      </c>
      <c r="B409" s="1" t="s">
        <v>1258</v>
      </c>
      <c r="C409" s="1" t="s">
        <v>1259</v>
      </c>
      <c r="D409" s="1">
        <v>0.0</v>
      </c>
      <c r="E409" s="1" t="s">
        <v>439</v>
      </c>
      <c r="F409" s="1">
        <v>197.0</v>
      </c>
      <c r="G409" s="1">
        <v>62.0</v>
      </c>
      <c r="H409" s="1">
        <v>51.0</v>
      </c>
      <c r="I409" s="7">
        <f>IFERROR(__xludf.DUMMYFUNCTION("SPLIT(B409,""T""""Z"")"),41828.0)</f>
        <v>41828</v>
      </c>
      <c r="J409" s="8">
        <f>IFERROR(__xludf.DUMMYFUNCTION("""COMPUTED_VALUE"""),0.2391087962962963)</f>
        <v>0.2391087963</v>
      </c>
      <c r="K409" s="9">
        <f t="shared" si="1"/>
        <v>8</v>
      </c>
      <c r="L409" s="7">
        <f>IFERROR(__xludf.DUMMYFUNCTION("SPLIT(C409,""T""""Z"")"),44798.0)</f>
        <v>44798</v>
      </c>
      <c r="M409" s="8">
        <f>IFERROR(__xludf.DUMMYFUNCTION("""COMPUTED_VALUE"""),0.3784837962962963)</f>
        <v>0.3784837963</v>
      </c>
      <c r="N409" s="10">
        <f t="shared" si="2"/>
        <v>129.0836111</v>
      </c>
      <c r="O409" s="11">
        <f t="shared" si="3"/>
        <v>0.8225806452</v>
      </c>
    </row>
    <row r="410">
      <c r="A410" s="1" t="s">
        <v>1260</v>
      </c>
      <c r="B410" s="1" t="s">
        <v>1261</v>
      </c>
      <c r="C410" s="1" t="s">
        <v>1262</v>
      </c>
      <c r="D410" s="1">
        <v>136.0</v>
      </c>
      <c r="E410" s="1" t="s">
        <v>124</v>
      </c>
      <c r="F410" s="1">
        <v>793.0</v>
      </c>
      <c r="G410" s="1">
        <v>1109.0</v>
      </c>
      <c r="H410" s="1">
        <v>768.0</v>
      </c>
      <c r="I410" s="7">
        <f>IFERROR(__xludf.DUMMYFUNCTION("SPLIT(B410,""T""""Z"")"),43239.0)</f>
        <v>43239</v>
      </c>
      <c r="J410" s="8">
        <f>IFERROR(__xludf.DUMMYFUNCTION("""COMPUTED_VALUE"""),0.036875)</f>
        <v>0.036875</v>
      </c>
      <c r="K410" s="9">
        <f t="shared" si="1"/>
        <v>4</v>
      </c>
      <c r="L410" s="7">
        <f>IFERROR(__xludf.DUMMYFUNCTION("SPLIT(C410,""T""""Z"")"),44798.0)</f>
        <v>44798</v>
      </c>
      <c r="M410" s="8">
        <f>IFERROR(__xludf.DUMMYFUNCTION("""COMPUTED_VALUE"""),0.5565509259259259)</f>
        <v>0.5565509259</v>
      </c>
      <c r="N410" s="10">
        <f t="shared" si="2"/>
        <v>133.3572222</v>
      </c>
      <c r="O410" s="11">
        <f t="shared" si="3"/>
        <v>0.69251578</v>
      </c>
    </row>
    <row r="411">
      <c r="A411" s="1" t="s">
        <v>1263</v>
      </c>
      <c r="B411" s="1" t="s">
        <v>1264</v>
      </c>
      <c r="C411" s="1" t="s">
        <v>1265</v>
      </c>
      <c r="D411" s="1">
        <v>32.0</v>
      </c>
      <c r="E411" s="1" t="s">
        <v>38</v>
      </c>
      <c r="F411" s="1">
        <v>3480.0</v>
      </c>
      <c r="G411" s="1">
        <v>5032.0</v>
      </c>
      <c r="H411" s="1">
        <v>4493.0</v>
      </c>
      <c r="I411" s="7">
        <f>IFERROR(__xludf.DUMMYFUNCTION("SPLIT(B411,""T""""Z"")"),41955.0)</f>
        <v>41955</v>
      </c>
      <c r="J411" s="8">
        <f>IFERROR(__xludf.DUMMYFUNCTION("""COMPUTED_VALUE"""),0.11967592592592592)</f>
        <v>0.1196759259</v>
      </c>
      <c r="K411" s="9">
        <f t="shared" si="1"/>
        <v>7</v>
      </c>
      <c r="L411" s="7">
        <f>IFERROR(__xludf.DUMMYFUNCTION("SPLIT(C411,""T""""Z"")"),44798.0)</f>
        <v>44798</v>
      </c>
      <c r="M411" s="8">
        <f>IFERROR(__xludf.DUMMYFUNCTION("""COMPUTED_VALUE"""),0.30571759259259257)</f>
        <v>0.3057175926</v>
      </c>
      <c r="N411" s="10">
        <f t="shared" si="2"/>
        <v>127.3372222</v>
      </c>
      <c r="O411" s="11">
        <f t="shared" si="3"/>
        <v>0.8928855326</v>
      </c>
    </row>
    <row r="412">
      <c r="A412" s="1" t="s">
        <v>1266</v>
      </c>
      <c r="B412" s="1" t="s">
        <v>1267</v>
      </c>
      <c r="C412" s="1" t="s">
        <v>1268</v>
      </c>
      <c r="D412" s="1">
        <v>19.0</v>
      </c>
      <c r="E412" s="1" t="s">
        <v>18</v>
      </c>
      <c r="F412" s="1">
        <v>1689.0</v>
      </c>
      <c r="G412" s="1">
        <v>6963.0</v>
      </c>
      <c r="H412" s="1">
        <v>5314.0</v>
      </c>
      <c r="I412" s="7">
        <f>IFERROR(__xludf.DUMMYFUNCTION("SPLIT(B412,""T""""Z"")"),42429.0)</f>
        <v>42429</v>
      </c>
      <c r="J412" s="8">
        <f>IFERROR(__xludf.DUMMYFUNCTION("""COMPUTED_VALUE"""),0.3203009259259259)</f>
        <v>0.3203009259</v>
      </c>
      <c r="K412" s="9">
        <f t="shared" si="1"/>
        <v>6</v>
      </c>
      <c r="L412" s="7">
        <f>IFERROR(__xludf.DUMMYFUNCTION("SPLIT(C412,""T""""Z"")"),44798.0)</f>
        <v>44798</v>
      </c>
      <c r="M412" s="8">
        <f>IFERROR(__xludf.DUMMYFUNCTION("""COMPUTED_VALUE"""),0.5921064814814815)</f>
        <v>0.5921064815</v>
      </c>
      <c r="N412" s="10">
        <f t="shared" si="2"/>
        <v>134.2105556</v>
      </c>
      <c r="O412" s="11">
        <f t="shared" si="3"/>
        <v>0.7631767916</v>
      </c>
    </row>
    <row r="413">
      <c r="A413" s="1" t="s">
        <v>1269</v>
      </c>
      <c r="B413" s="1" t="s">
        <v>1270</v>
      </c>
      <c r="C413" s="1" t="s">
        <v>1271</v>
      </c>
      <c r="D413" s="1">
        <v>9.0</v>
      </c>
      <c r="E413" s="1" t="s">
        <v>38</v>
      </c>
      <c r="F413" s="1">
        <v>96.0</v>
      </c>
      <c r="G413" s="1">
        <v>807.0</v>
      </c>
      <c r="H413" s="1">
        <v>212.0</v>
      </c>
      <c r="I413" s="7">
        <f>IFERROR(__xludf.DUMMYFUNCTION("SPLIT(B413,""T""""Z"")"),41181.0)</f>
        <v>41181</v>
      </c>
      <c r="J413" s="8">
        <f>IFERROR(__xludf.DUMMYFUNCTION("""COMPUTED_VALUE"""),0.3277893518518519)</f>
        <v>0.3277893519</v>
      </c>
      <c r="K413" s="9">
        <f t="shared" si="1"/>
        <v>9</v>
      </c>
      <c r="L413" s="7">
        <f>IFERROR(__xludf.DUMMYFUNCTION("SPLIT(C413,""T""""Z"")"),44798.0)</f>
        <v>44798</v>
      </c>
      <c r="M413" s="8">
        <f>IFERROR(__xludf.DUMMYFUNCTION("""COMPUTED_VALUE"""),0.4404976851851852)</f>
        <v>0.4404976852</v>
      </c>
      <c r="N413" s="10">
        <f t="shared" si="2"/>
        <v>130.5719444</v>
      </c>
      <c r="O413" s="11">
        <f t="shared" si="3"/>
        <v>0.2627013631</v>
      </c>
    </row>
    <row r="414">
      <c r="A414" s="1" t="s">
        <v>1272</v>
      </c>
      <c r="B414" s="1" t="s">
        <v>1273</v>
      </c>
      <c r="C414" s="1" t="s">
        <v>1274</v>
      </c>
      <c r="D414" s="1">
        <v>0.0</v>
      </c>
      <c r="E414" s="13" t="s">
        <v>22</v>
      </c>
      <c r="F414" s="1">
        <v>41.0</v>
      </c>
      <c r="G414" s="1">
        <v>57.0</v>
      </c>
      <c r="H414" s="1">
        <v>36.0</v>
      </c>
      <c r="I414" s="7">
        <f>IFERROR(__xludf.DUMMYFUNCTION("SPLIT(B414,""T""""Z"")"),41701.0)</f>
        <v>41701</v>
      </c>
      <c r="J414" s="8">
        <f>IFERROR(__xludf.DUMMYFUNCTION("""COMPUTED_VALUE"""),0.7704861111111111)</f>
        <v>0.7704861111</v>
      </c>
      <c r="K414" s="9">
        <f t="shared" si="1"/>
        <v>8</v>
      </c>
      <c r="L414" s="7">
        <f>IFERROR(__xludf.DUMMYFUNCTION("SPLIT(C414,""T""""Z"")"),44798.0)</f>
        <v>44798</v>
      </c>
      <c r="M414" s="8">
        <f>IFERROR(__xludf.DUMMYFUNCTION("""COMPUTED_VALUE"""),0.5426041666666667)</f>
        <v>0.5426041667</v>
      </c>
      <c r="N414" s="12">
        <f t="shared" si="2"/>
        <v>133.0225</v>
      </c>
      <c r="O414" s="11">
        <f t="shared" si="3"/>
        <v>0.6315789474</v>
      </c>
    </row>
    <row r="415">
      <c r="A415" s="1" t="s">
        <v>1275</v>
      </c>
      <c r="B415" s="1" t="s">
        <v>1276</v>
      </c>
      <c r="C415" s="1" t="s">
        <v>1277</v>
      </c>
      <c r="D415" s="1">
        <v>0.0</v>
      </c>
      <c r="E415" s="13" t="s">
        <v>22</v>
      </c>
      <c r="F415" s="1">
        <v>1699.0</v>
      </c>
      <c r="G415" s="1">
        <v>3640.0</v>
      </c>
      <c r="H415" s="1">
        <v>1993.0</v>
      </c>
      <c r="I415" s="7">
        <f>IFERROR(__xludf.DUMMYFUNCTION("SPLIT(B415,""T""""Z"")"),43865.0)</f>
        <v>43865</v>
      </c>
      <c r="J415" s="8">
        <f>IFERROR(__xludf.DUMMYFUNCTION("""COMPUTED_VALUE"""),0.9193634259259259)</f>
        <v>0.9193634259</v>
      </c>
      <c r="K415" s="9">
        <f t="shared" si="1"/>
        <v>2</v>
      </c>
      <c r="L415" s="7">
        <f>IFERROR(__xludf.DUMMYFUNCTION("SPLIT(C415,""T""""Z"")"),44798.0)</f>
        <v>44798</v>
      </c>
      <c r="M415" s="8">
        <f>IFERROR(__xludf.DUMMYFUNCTION("""COMPUTED_VALUE"""),0.21608796296296295)</f>
        <v>0.216087963</v>
      </c>
      <c r="N415" s="12">
        <f t="shared" si="2"/>
        <v>125.1861111</v>
      </c>
      <c r="O415" s="11">
        <f t="shared" si="3"/>
        <v>0.5475274725</v>
      </c>
    </row>
    <row r="416">
      <c r="A416" s="1" t="s">
        <v>1278</v>
      </c>
      <c r="B416" s="1" t="s">
        <v>1279</v>
      </c>
      <c r="C416" s="1" t="s">
        <v>1280</v>
      </c>
      <c r="D416" s="1">
        <v>0.0</v>
      </c>
      <c r="E416" s="1" t="s">
        <v>52</v>
      </c>
      <c r="F416" s="1">
        <v>562.0</v>
      </c>
      <c r="G416" s="1">
        <v>4742.0</v>
      </c>
      <c r="H416" s="1">
        <v>4731.0</v>
      </c>
      <c r="I416" s="7">
        <f>IFERROR(__xludf.DUMMYFUNCTION("SPLIT(B416,""T""""Z"")"),40539.0)</f>
        <v>40539</v>
      </c>
      <c r="J416" s="8">
        <f>IFERROR(__xludf.DUMMYFUNCTION("""COMPUTED_VALUE"""),0.34650462962962963)</f>
        <v>0.3465046296</v>
      </c>
      <c r="K416" s="9">
        <f t="shared" si="1"/>
        <v>11</v>
      </c>
      <c r="L416" s="7">
        <f>IFERROR(__xludf.DUMMYFUNCTION("SPLIT(C416,""T""""Z"")"),44798.0)</f>
        <v>44798</v>
      </c>
      <c r="M416" s="8">
        <f>IFERROR(__xludf.DUMMYFUNCTION("""COMPUTED_VALUE"""),0.5976736111111111)</f>
        <v>0.5976736111</v>
      </c>
      <c r="N416" s="10">
        <f t="shared" si="2"/>
        <v>134.3441667</v>
      </c>
      <c r="O416" s="11">
        <f t="shared" si="3"/>
        <v>0.9976803037</v>
      </c>
    </row>
    <row r="417">
      <c r="A417" s="1" t="s">
        <v>1281</v>
      </c>
      <c r="B417" s="1" t="s">
        <v>1282</v>
      </c>
      <c r="C417" s="1" t="s">
        <v>1283</v>
      </c>
      <c r="D417" s="1">
        <v>21.0</v>
      </c>
      <c r="E417" s="1" t="s">
        <v>38</v>
      </c>
      <c r="F417" s="1">
        <v>976.0</v>
      </c>
      <c r="G417" s="1">
        <v>2020.0</v>
      </c>
      <c r="H417" s="1">
        <v>1691.0</v>
      </c>
      <c r="I417" s="7">
        <f>IFERROR(__xludf.DUMMYFUNCTION("SPLIT(B417,""T""""Z"")"),43173.0)</f>
        <v>43173</v>
      </c>
      <c r="J417" s="8">
        <f>IFERROR(__xludf.DUMMYFUNCTION("""COMPUTED_VALUE"""),0.8296875)</f>
        <v>0.8296875</v>
      </c>
      <c r="K417" s="9">
        <f t="shared" si="1"/>
        <v>4</v>
      </c>
      <c r="L417" s="7">
        <f>IFERROR(__xludf.DUMMYFUNCTION("SPLIT(C417,""T""""Z"")"),44798.0)</f>
        <v>44798</v>
      </c>
      <c r="M417" s="8">
        <f>IFERROR(__xludf.DUMMYFUNCTION("""COMPUTED_VALUE"""),0.4381481481481482)</f>
        <v>0.4381481481</v>
      </c>
      <c r="N417" s="10">
        <f t="shared" si="2"/>
        <v>130.5155556</v>
      </c>
      <c r="O417" s="11">
        <f t="shared" si="3"/>
        <v>0.8371287129</v>
      </c>
    </row>
    <row r="418">
      <c r="A418" s="1" t="s">
        <v>1284</v>
      </c>
      <c r="B418" s="1" t="s">
        <v>1285</v>
      </c>
      <c r="C418" s="1" t="s">
        <v>334</v>
      </c>
      <c r="D418" s="1">
        <v>101.0</v>
      </c>
      <c r="E418" s="1" t="s">
        <v>161</v>
      </c>
      <c r="F418" s="1">
        <v>934.0</v>
      </c>
      <c r="G418" s="1">
        <v>1065.0</v>
      </c>
      <c r="H418" s="1">
        <v>1015.0</v>
      </c>
      <c r="I418" s="7">
        <f>IFERROR(__xludf.DUMMYFUNCTION("SPLIT(B418,""T""""Z"")"),43213.0)</f>
        <v>43213</v>
      </c>
      <c r="J418" s="8">
        <f>IFERROR(__xludf.DUMMYFUNCTION("""COMPUTED_VALUE"""),0.4899074074074074)</f>
        <v>0.4899074074</v>
      </c>
      <c r="K418" s="9">
        <f t="shared" si="1"/>
        <v>4</v>
      </c>
      <c r="L418" s="7">
        <f>IFERROR(__xludf.DUMMYFUNCTION("SPLIT(C418,""T""""Z"")"),44798.0)</f>
        <v>44798</v>
      </c>
      <c r="M418" s="8">
        <f>IFERROR(__xludf.DUMMYFUNCTION("""COMPUTED_VALUE"""),0.5925925925925926)</f>
        <v>0.5925925926</v>
      </c>
      <c r="N418" s="10">
        <f t="shared" si="2"/>
        <v>134.2222222</v>
      </c>
      <c r="O418" s="11">
        <f t="shared" si="3"/>
        <v>0.9530516432</v>
      </c>
    </row>
    <row r="419">
      <c r="A419" s="1" t="s">
        <v>1286</v>
      </c>
      <c r="B419" s="1" t="s">
        <v>1287</v>
      </c>
      <c r="C419" s="1" t="s">
        <v>1288</v>
      </c>
      <c r="D419" s="1">
        <v>5.0</v>
      </c>
      <c r="E419" s="1" t="s">
        <v>351</v>
      </c>
      <c r="F419" s="1">
        <v>163.0</v>
      </c>
      <c r="G419" s="1">
        <v>947.0</v>
      </c>
      <c r="H419" s="1">
        <v>851.0</v>
      </c>
      <c r="I419" s="7">
        <f>IFERROR(__xludf.DUMMYFUNCTION("SPLIT(B419,""T""""Z"")"),41527.0)</f>
        <v>41527</v>
      </c>
      <c r="J419" s="8">
        <f>IFERROR(__xludf.DUMMYFUNCTION("""COMPUTED_VALUE"""),0.6242013888888889)</f>
        <v>0.6242013889</v>
      </c>
      <c r="K419" s="9">
        <f t="shared" si="1"/>
        <v>8</v>
      </c>
      <c r="L419" s="7">
        <f>IFERROR(__xludf.DUMMYFUNCTION("SPLIT(C419,""T""""Z"")"),44798.0)</f>
        <v>44798</v>
      </c>
      <c r="M419" s="8">
        <f>IFERROR(__xludf.DUMMYFUNCTION("""COMPUTED_VALUE"""),0.4808101851851852)</f>
        <v>0.4808101852</v>
      </c>
      <c r="N419" s="10">
        <f t="shared" si="2"/>
        <v>131.5394444</v>
      </c>
      <c r="O419" s="11">
        <f t="shared" si="3"/>
        <v>0.8986272439</v>
      </c>
    </row>
    <row r="420">
      <c r="A420" s="1" t="s">
        <v>1289</v>
      </c>
      <c r="B420" s="1" t="s">
        <v>1290</v>
      </c>
      <c r="C420" s="1" t="s">
        <v>1291</v>
      </c>
      <c r="D420" s="1">
        <v>30.0</v>
      </c>
      <c r="E420" s="1" t="s">
        <v>161</v>
      </c>
      <c r="F420" s="1">
        <v>533.0</v>
      </c>
      <c r="G420" s="1">
        <v>402.0</v>
      </c>
      <c r="H420" s="1">
        <v>333.0</v>
      </c>
      <c r="I420" s="7">
        <f>IFERROR(__xludf.DUMMYFUNCTION("SPLIT(B420,""T""""Z"")"),42262.0)</f>
        <v>42262</v>
      </c>
      <c r="J420" s="8">
        <f>IFERROR(__xludf.DUMMYFUNCTION("""COMPUTED_VALUE"""),0.10090277777777777)</f>
        <v>0.1009027778</v>
      </c>
      <c r="K420" s="9">
        <f t="shared" si="1"/>
        <v>6</v>
      </c>
      <c r="L420" s="7">
        <f>IFERROR(__xludf.DUMMYFUNCTION("SPLIT(C420,""T""""Z"")"),44798.0)</f>
        <v>44798</v>
      </c>
      <c r="M420" s="8">
        <f>IFERROR(__xludf.DUMMYFUNCTION("""COMPUTED_VALUE"""),0.5618402777777778)</f>
        <v>0.5618402778</v>
      </c>
      <c r="N420" s="10">
        <f t="shared" si="2"/>
        <v>133.4841667</v>
      </c>
      <c r="O420" s="11">
        <f t="shared" si="3"/>
        <v>0.828358209</v>
      </c>
    </row>
    <row r="421">
      <c r="A421" s="1" t="s">
        <v>1292</v>
      </c>
      <c r="B421" s="1" t="s">
        <v>1293</v>
      </c>
      <c r="C421" s="1" t="s">
        <v>1294</v>
      </c>
      <c r="D421" s="1">
        <v>18.0</v>
      </c>
      <c r="E421" s="1" t="s">
        <v>124</v>
      </c>
      <c r="F421" s="1">
        <v>1143.0</v>
      </c>
      <c r="G421" s="1">
        <v>3207.0</v>
      </c>
      <c r="H421" s="1">
        <v>3181.0</v>
      </c>
      <c r="I421" s="7">
        <f>IFERROR(__xludf.DUMMYFUNCTION("SPLIT(B421,""T""""Z"")"),40968.0)</f>
        <v>40968</v>
      </c>
      <c r="J421" s="8">
        <f>IFERROR(__xludf.DUMMYFUNCTION("""COMPUTED_VALUE"""),0.10564814814814814)</f>
        <v>0.1056481481</v>
      </c>
      <c r="K421" s="9">
        <f t="shared" si="1"/>
        <v>10</v>
      </c>
      <c r="L421" s="7">
        <f>IFERROR(__xludf.DUMMYFUNCTION("SPLIT(C421,""T""""Z"")"),44798.0)</f>
        <v>44798</v>
      </c>
      <c r="M421" s="8">
        <f>IFERROR(__xludf.DUMMYFUNCTION("""COMPUTED_VALUE"""),0.5259722222222222)</f>
        <v>0.5259722222</v>
      </c>
      <c r="N421" s="10">
        <f t="shared" si="2"/>
        <v>132.6233333</v>
      </c>
      <c r="O421" s="11">
        <f t="shared" si="3"/>
        <v>0.9918927346</v>
      </c>
    </row>
    <row r="422">
      <c r="A422" s="1" t="s">
        <v>1295</v>
      </c>
      <c r="B422" s="1" t="s">
        <v>1296</v>
      </c>
      <c r="C422" s="1" t="s">
        <v>1297</v>
      </c>
      <c r="D422" s="1">
        <v>0.0</v>
      </c>
      <c r="E422" s="1" t="s">
        <v>38</v>
      </c>
      <c r="F422" s="1">
        <v>167.0</v>
      </c>
      <c r="G422" s="1">
        <v>57.0</v>
      </c>
      <c r="H422" s="1">
        <v>45.0</v>
      </c>
      <c r="I422" s="7">
        <f>IFERROR(__xludf.DUMMYFUNCTION("SPLIT(B422,""T""""Z"")"),43741.0)</f>
        <v>43741</v>
      </c>
      <c r="J422" s="8">
        <f>IFERROR(__xludf.DUMMYFUNCTION("""COMPUTED_VALUE"""),0.7301041666666667)</f>
        <v>0.7301041667</v>
      </c>
      <c r="K422" s="9">
        <f t="shared" si="1"/>
        <v>2</v>
      </c>
      <c r="L422" s="7">
        <f>IFERROR(__xludf.DUMMYFUNCTION("SPLIT(C422,""T""""Z"")"),44798.0)</f>
        <v>44798</v>
      </c>
      <c r="M422" s="8">
        <f>IFERROR(__xludf.DUMMYFUNCTION("""COMPUTED_VALUE"""),0.5998726851851852)</f>
        <v>0.5998726852</v>
      </c>
      <c r="N422" s="10">
        <f t="shared" si="2"/>
        <v>134.3969444</v>
      </c>
      <c r="O422" s="11">
        <f t="shared" si="3"/>
        <v>0.7894736842</v>
      </c>
    </row>
    <row r="423">
      <c r="A423" s="1" t="s">
        <v>1298</v>
      </c>
      <c r="B423" s="1" t="s">
        <v>1299</v>
      </c>
      <c r="C423" s="1" t="s">
        <v>1300</v>
      </c>
      <c r="D423" s="1">
        <v>16.0</v>
      </c>
      <c r="E423" s="1" t="s">
        <v>48</v>
      </c>
      <c r="F423" s="1">
        <v>715.0</v>
      </c>
      <c r="G423" s="1">
        <v>1880.0</v>
      </c>
      <c r="H423" s="1">
        <v>1822.0</v>
      </c>
      <c r="I423" s="7">
        <f>IFERROR(__xludf.DUMMYFUNCTION("SPLIT(B423,""T""""Z"")"),42053.0)</f>
        <v>42053</v>
      </c>
      <c r="J423" s="8">
        <f>IFERROR(__xludf.DUMMYFUNCTION("""COMPUTED_VALUE"""),0.6087037037037037)</f>
        <v>0.6087037037</v>
      </c>
      <c r="K423" s="9">
        <f t="shared" si="1"/>
        <v>7</v>
      </c>
      <c r="L423" s="7">
        <f>IFERROR(__xludf.DUMMYFUNCTION("SPLIT(C423,""T""""Z"")"),44798.0)</f>
        <v>44798</v>
      </c>
      <c r="M423" s="8">
        <f>IFERROR(__xludf.DUMMYFUNCTION("""COMPUTED_VALUE"""),0.48756944444444444)</f>
        <v>0.4875694444</v>
      </c>
      <c r="N423" s="10">
        <f t="shared" si="2"/>
        <v>131.7016667</v>
      </c>
      <c r="O423" s="11">
        <f t="shared" si="3"/>
        <v>0.9691489362</v>
      </c>
    </row>
    <row r="424">
      <c r="A424" s="1" t="s">
        <v>1301</v>
      </c>
      <c r="B424" s="1" t="s">
        <v>1302</v>
      </c>
      <c r="C424" s="1" t="s">
        <v>1303</v>
      </c>
      <c r="D424" s="1">
        <v>126.0</v>
      </c>
      <c r="E424" s="1" t="s">
        <v>52</v>
      </c>
      <c r="F424" s="1">
        <v>1083.0</v>
      </c>
      <c r="G424" s="1">
        <v>4429.0</v>
      </c>
      <c r="H424" s="1">
        <v>4401.0</v>
      </c>
      <c r="I424" s="7">
        <f>IFERROR(__xludf.DUMMYFUNCTION("SPLIT(B424,""T""""Z"")"),42621.0)</f>
        <v>42621</v>
      </c>
      <c r="J424" s="8">
        <f>IFERROR(__xludf.DUMMYFUNCTION("""COMPUTED_VALUE"""),0.5297800925925926)</f>
        <v>0.5297800926</v>
      </c>
      <c r="K424" s="9">
        <f t="shared" si="1"/>
        <v>5</v>
      </c>
      <c r="L424" s="7">
        <f>IFERROR(__xludf.DUMMYFUNCTION("SPLIT(C424,""T""""Z"")"),44798.0)</f>
        <v>44798</v>
      </c>
      <c r="M424" s="8">
        <f>IFERROR(__xludf.DUMMYFUNCTION("""COMPUTED_VALUE"""),0.6103587962962963)</f>
        <v>0.6103587963</v>
      </c>
      <c r="N424" s="10">
        <f t="shared" si="2"/>
        <v>134.6486111</v>
      </c>
      <c r="O424" s="11">
        <f t="shared" si="3"/>
        <v>0.9936780312</v>
      </c>
    </row>
    <row r="425">
      <c r="A425" s="1" t="s">
        <v>1304</v>
      </c>
      <c r="B425" s="1" t="s">
        <v>1305</v>
      </c>
      <c r="C425" s="1" t="s">
        <v>1306</v>
      </c>
      <c r="D425" s="1">
        <v>32.0</v>
      </c>
      <c r="E425" s="1" t="s">
        <v>48</v>
      </c>
      <c r="F425" s="1">
        <v>127.0</v>
      </c>
      <c r="G425" s="1">
        <v>997.0</v>
      </c>
      <c r="H425" s="1">
        <v>997.0</v>
      </c>
      <c r="I425" s="7">
        <f>IFERROR(__xludf.DUMMYFUNCTION("SPLIT(B425,""T""""Z"")"),43197.0)</f>
        <v>43197</v>
      </c>
      <c r="J425" s="8">
        <f>IFERROR(__xludf.DUMMYFUNCTION("""COMPUTED_VALUE"""),0.8564699074074074)</f>
        <v>0.8564699074</v>
      </c>
      <c r="K425" s="9">
        <f t="shared" si="1"/>
        <v>4</v>
      </c>
      <c r="L425" s="7">
        <f>IFERROR(__xludf.DUMMYFUNCTION("SPLIT(C425,""T""""Z"")"),44798.0)</f>
        <v>44798</v>
      </c>
      <c r="M425" s="8">
        <f>IFERROR(__xludf.DUMMYFUNCTION("""COMPUTED_VALUE"""),0.5718402777777778)</f>
        <v>0.5718402778</v>
      </c>
      <c r="N425" s="10">
        <f t="shared" si="2"/>
        <v>133.7241667</v>
      </c>
      <c r="O425" s="11">
        <f t="shared" si="3"/>
        <v>1</v>
      </c>
    </row>
    <row r="426">
      <c r="A426" s="1" t="s">
        <v>1307</v>
      </c>
      <c r="B426" s="1" t="s">
        <v>1308</v>
      </c>
      <c r="C426" s="1" t="s">
        <v>1309</v>
      </c>
      <c r="D426" s="1">
        <v>0.0</v>
      </c>
      <c r="E426" s="13" t="s">
        <v>22</v>
      </c>
      <c r="F426" s="1">
        <v>359.0</v>
      </c>
      <c r="G426" s="1">
        <v>80.0</v>
      </c>
      <c r="H426" s="1">
        <v>78.0</v>
      </c>
      <c r="I426" s="7">
        <f>IFERROR(__xludf.DUMMYFUNCTION("SPLIT(B426,""T""""Z"")"),41821.0)</f>
        <v>41821</v>
      </c>
      <c r="J426" s="8">
        <f>IFERROR(__xludf.DUMMYFUNCTION("""COMPUTED_VALUE"""),0.6659953703703704)</f>
        <v>0.6659953704</v>
      </c>
      <c r="K426" s="9">
        <f t="shared" si="1"/>
        <v>8</v>
      </c>
      <c r="L426" s="7">
        <f>IFERROR(__xludf.DUMMYFUNCTION("SPLIT(C426,""T""""Z"")"),44798.0)</f>
        <v>44798</v>
      </c>
      <c r="M426" s="8">
        <f>IFERROR(__xludf.DUMMYFUNCTION("""COMPUTED_VALUE"""),0.6023032407407407)</f>
        <v>0.6023032407</v>
      </c>
      <c r="N426" s="12">
        <f t="shared" si="2"/>
        <v>134.4552778</v>
      </c>
      <c r="O426" s="11">
        <f t="shared" si="3"/>
        <v>0.975</v>
      </c>
    </row>
    <row r="427">
      <c r="A427" s="1" t="s">
        <v>1310</v>
      </c>
      <c r="B427" s="1" t="s">
        <v>1311</v>
      </c>
      <c r="C427" s="1" t="s">
        <v>1312</v>
      </c>
      <c r="D427" s="1">
        <v>46.0</v>
      </c>
      <c r="E427" s="1" t="s">
        <v>38</v>
      </c>
      <c r="F427" s="1">
        <v>1902.0</v>
      </c>
      <c r="G427" s="1">
        <v>2892.0</v>
      </c>
      <c r="H427" s="1">
        <v>2652.0</v>
      </c>
      <c r="I427" s="7">
        <f>IFERROR(__xludf.DUMMYFUNCTION("SPLIT(B427,""T""""Z"")"),40225.0)</f>
        <v>40225</v>
      </c>
      <c r="J427" s="8">
        <f>IFERROR(__xludf.DUMMYFUNCTION("""COMPUTED_VALUE"""),0.17376157407407408)</f>
        <v>0.1737615741</v>
      </c>
      <c r="K427" s="9">
        <f t="shared" si="1"/>
        <v>12</v>
      </c>
      <c r="L427" s="7">
        <f>IFERROR(__xludf.DUMMYFUNCTION("SPLIT(C427,""T""""Z"")"),44798.0)</f>
        <v>44798</v>
      </c>
      <c r="M427" s="8">
        <f>IFERROR(__xludf.DUMMYFUNCTION("""COMPUTED_VALUE"""),0.47274305555555557)</f>
        <v>0.4727430556</v>
      </c>
      <c r="N427" s="10">
        <f t="shared" si="2"/>
        <v>131.3458333</v>
      </c>
      <c r="O427" s="11">
        <f t="shared" si="3"/>
        <v>0.9170124481</v>
      </c>
    </row>
    <row r="428">
      <c r="A428" s="1" t="s">
        <v>1313</v>
      </c>
      <c r="B428" s="1" t="s">
        <v>1314</v>
      </c>
      <c r="C428" s="1" t="s">
        <v>1315</v>
      </c>
      <c r="D428" s="1">
        <v>59.0</v>
      </c>
      <c r="E428" s="1" t="s">
        <v>1316</v>
      </c>
      <c r="F428" s="1">
        <v>672.0</v>
      </c>
      <c r="G428" s="1">
        <v>1497.0</v>
      </c>
      <c r="H428" s="1">
        <v>1463.0</v>
      </c>
      <c r="I428" s="7">
        <f>IFERROR(__xludf.DUMMYFUNCTION("SPLIT(B428,""T""""Z"")"),41152.0)</f>
        <v>41152</v>
      </c>
      <c r="J428" s="8">
        <f>IFERROR(__xludf.DUMMYFUNCTION("""COMPUTED_VALUE"""),0.2901851851851852)</f>
        <v>0.2901851852</v>
      </c>
      <c r="K428" s="9">
        <f t="shared" si="1"/>
        <v>9</v>
      </c>
      <c r="L428" s="7">
        <f>IFERROR(__xludf.DUMMYFUNCTION("SPLIT(C428,""T""""Z"")"),44798.0)</f>
        <v>44798</v>
      </c>
      <c r="M428" s="8">
        <f>IFERROR(__xludf.DUMMYFUNCTION("""COMPUTED_VALUE"""),0.5363541666666667)</f>
        <v>0.5363541667</v>
      </c>
      <c r="N428" s="10">
        <f t="shared" si="2"/>
        <v>132.8725</v>
      </c>
      <c r="O428" s="11">
        <f t="shared" si="3"/>
        <v>0.9772879092</v>
      </c>
    </row>
    <row r="429">
      <c r="A429" s="1" t="s">
        <v>1317</v>
      </c>
      <c r="B429" s="1" t="s">
        <v>1318</v>
      </c>
      <c r="C429" s="1" t="s">
        <v>1319</v>
      </c>
      <c r="D429" s="1">
        <v>16.0</v>
      </c>
      <c r="E429" s="1" t="s">
        <v>38</v>
      </c>
      <c r="F429" s="1">
        <v>967.0</v>
      </c>
      <c r="G429" s="1">
        <v>1643.0</v>
      </c>
      <c r="H429" s="1">
        <v>1628.0</v>
      </c>
      <c r="I429" s="7">
        <f>IFERROR(__xludf.DUMMYFUNCTION("SPLIT(B429,""T""""Z"")"),42487.0)</f>
        <v>42487</v>
      </c>
      <c r="J429" s="8">
        <f>IFERROR(__xludf.DUMMYFUNCTION("""COMPUTED_VALUE"""),0.6244907407407407)</f>
        <v>0.6244907407</v>
      </c>
      <c r="K429" s="9">
        <f t="shared" si="1"/>
        <v>6</v>
      </c>
      <c r="L429" s="7">
        <f>IFERROR(__xludf.DUMMYFUNCTION("SPLIT(C429,""T""""Z"")"),44798.0)</f>
        <v>44798</v>
      </c>
      <c r="M429" s="8">
        <f>IFERROR(__xludf.DUMMYFUNCTION("""COMPUTED_VALUE"""),0.4966087962962963)</f>
        <v>0.4966087963</v>
      </c>
      <c r="N429" s="10">
        <f t="shared" si="2"/>
        <v>131.9186111</v>
      </c>
      <c r="O429" s="11">
        <f t="shared" si="3"/>
        <v>0.9908703591</v>
      </c>
    </row>
    <row r="430">
      <c r="A430" s="1" t="s">
        <v>1320</v>
      </c>
      <c r="B430" s="1" t="s">
        <v>1321</v>
      </c>
      <c r="C430" s="1" t="s">
        <v>1322</v>
      </c>
      <c r="D430" s="1">
        <v>2352.0</v>
      </c>
      <c r="E430" s="1" t="s">
        <v>18</v>
      </c>
      <c r="F430" s="1">
        <v>1938.0</v>
      </c>
      <c r="G430" s="1">
        <v>2750.0</v>
      </c>
      <c r="H430" s="1">
        <v>2691.0</v>
      </c>
      <c r="I430" s="7">
        <f>IFERROR(__xludf.DUMMYFUNCTION("SPLIT(B430,""T""""Z"")"),43694.0)</f>
        <v>43694</v>
      </c>
      <c r="J430" s="8">
        <f>IFERROR(__xludf.DUMMYFUNCTION("""COMPUTED_VALUE"""),0.6027083333333333)</f>
        <v>0.6027083333</v>
      </c>
      <c r="K430" s="9">
        <f t="shared" si="1"/>
        <v>3</v>
      </c>
      <c r="L430" s="7">
        <f>IFERROR(__xludf.DUMMYFUNCTION("SPLIT(C430,""T""""Z"")"),44798.0)</f>
        <v>44798</v>
      </c>
      <c r="M430" s="8">
        <f>IFERROR(__xludf.DUMMYFUNCTION("""COMPUTED_VALUE"""),0.5373148148148148)</f>
        <v>0.5373148148</v>
      </c>
      <c r="N430" s="10">
        <f t="shared" si="2"/>
        <v>132.8955556</v>
      </c>
      <c r="O430" s="11">
        <f t="shared" si="3"/>
        <v>0.9785454545</v>
      </c>
    </row>
    <row r="431">
      <c r="A431" s="1" t="s">
        <v>1323</v>
      </c>
      <c r="B431" s="1" t="s">
        <v>1324</v>
      </c>
      <c r="C431" s="1" t="s">
        <v>1325</v>
      </c>
      <c r="D431" s="1">
        <v>17.0</v>
      </c>
      <c r="E431" s="1" t="s">
        <v>124</v>
      </c>
      <c r="F431" s="1">
        <v>473.0</v>
      </c>
      <c r="G431" s="1">
        <v>924.0</v>
      </c>
      <c r="H431" s="1">
        <v>822.0</v>
      </c>
      <c r="I431" s="7">
        <f>IFERROR(__xludf.DUMMYFUNCTION("SPLIT(B431,""T""""Z"")"),41520.0)</f>
        <v>41520</v>
      </c>
      <c r="J431" s="8">
        <f>IFERROR(__xludf.DUMMYFUNCTION("""COMPUTED_VALUE"""),0.8614120370370371)</f>
        <v>0.861412037</v>
      </c>
      <c r="K431" s="9">
        <f t="shared" si="1"/>
        <v>8</v>
      </c>
      <c r="L431" s="7">
        <f>IFERROR(__xludf.DUMMYFUNCTION("SPLIT(C431,""T""""Z"")"),44798.0)</f>
        <v>44798</v>
      </c>
      <c r="M431" s="8">
        <f>IFERROR(__xludf.DUMMYFUNCTION("""COMPUTED_VALUE"""),0.6087268518518518)</f>
        <v>0.6087268519</v>
      </c>
      <c r="N431" s="10">
        <f t="shared" si="2"/>
        <v>134.6094444</v>
      </c>
      <c r="O431" s="11">
        <f t="shared" si="3"/>
        <v>0.8896103896</v>
      </c>
    </row>
    <row r="432">
      <c r="A432" s="1" t="s">
        <v>1326</v>
      </c>
      <c r="B432" s="1" t="s">
        <v>1327</v>
      </c>
      <c r="C432" s="1" t="s">
        <v>1328</v>
      </c>
      <c r="D432" s="1">
        <v>0.0</v>
      </c>
      <c r="E432" s="1" t="s">
        <v>351</v>
      </c>
      <c r="F432" s="1">
        <v>3.0</v>
      </c>
      <c r="G432" s="1">
        <v>6520.0</v>
      </c>
      <c r="H432" s="1">
        <v>5357.0</v>
      </c>
      <c r="I432" s="7">
        <f>IFERROR(__xludf.DUMMYFUNCTION("SPLIT(B432,""T""""Z"")"),42234.0)</f>
        <v>42234</v>
      </c>
      <c r="J432" s="8">
        <f>IFERROR(__xludf.DUMMYFUNCTION("""COMPUTED_VALUE"""),0.8777314814814815)</f>
        <v>0.8777314815</v>
      </c>
      <c r="K432" s="9">
        <f t="shared" si="1"/>
        <v>7</v>
      </c>
      <c r="L432" s="7">
        <f>IFERROR(__xludf.DUMMYFUNCTION("SPLIT(C432,""T""""Z"")"),44798.0)</f>
        <v>44798</v>
      </c>
      <c r="M432" s="8">
        <f>IFERROR(__xludf.DUMMYFUNCTION("""COMPUTED_VALUE"""),0.6101967592592593)</f>
        <v>0.6101967593</v>
      </c>
      <c r="N432" s="10">
        <f t="shared" si="2"/>
        <v>134.6447222</v>
      </c>
      <c r="O432" s="11">
        <f t="shared" si="3"/>
        <v>0.8216257669</v>
      </c>
    </row>
    <row r="433">
      <c r="A433" s="1" t="s">
        <v>1329</v>
      </c>
      <c r="B433" s="1" t="s">
        <v>1330</v>
      </c>
      <c r="C433" s="1" t="s">
        <v>1331</v>
      </c>
      <c r="D433" s="1">
        <v>0.0</v>
      </c>
      <c r="E433" s="1" t="s">
        <v>347</v>
      </c>
      <c r="F433" s="1">
        <v>164.0</v>
      </c>
      <c r="G433" s="1">
        <v>53.0</v>
      </c>
      <c r="H433" s="1">
        <v>44.0</v>
      </c>
      <c r="I433" s="7">
        <f>IFERROR(__xludf.DUMMYFUNCTION("SPLIT(B433,""T""""Z"")"),42549.0)</f>
        <v>42549</v>
      </c>
      <c r="J433" s="8">
        <f>IFERROR(__xludf.DUMMYFUNCTION("""COMPUTED_VALUE"""),0.6788425925925926)</f>
        <v>0.6788425926</v>
      </c>
      <c r="K433" s="9">
        <f t="shared" si="1"/>
        <v>6</v>
      </c>
      <c r="L433" s="7">
        <f>IFERROR(__xludf.DUMMYFUNCTION("SPLIT(C433,""T""""Z"")"),44798.0)</f>
        <v>44798</v>
      </c>
      <c r="M433" s="8">
        <f>IFERROR(__xludf.DUMMYFUNCTION("""COMPUTED_VALUE"""),0.5669907407407407)</f>
        <v>0.5669907407</v>
      </c>
      <c r="N433" s="10">
        <f t="shared" si="2"/>
        <v>133.6077778</v>
      </c>
      <c r="O433" s="11">
        <f t="shared" si="3"/>
        <v>0.8301886792</v>
      </c>
    </row>
    <row r="434">
      <c r="A434" s="1" t="s">
        <v>1332</v>
      </c>
      <c r="B434" s="1" t="s">
        <v>1333</v>
      </c>
      <c r="C434" s="1" t="s">
        <v>1334</v>
      </c>
      <c r="D434" s="1">
        <v>0.0</v>
      </c>
      <c r="E434" s="1" t="s">
        <v>68</v>
      </c>
      <c r="F434" s="1">
        <v>44.0</v>
      </c>
      <c r="G434" s="1">
        <v>372.0</v>
      </c>
      <c r="H434" s="1">
        <v>238.0</v>
      </c>
      <c r="I434" s="7">
        <f>IFERROR(__xludf.DUMMYFUNCTION("SPLIT(B434,""T""""Z"")"),40791.0)</f>
        <v>40791</v>
      </c>
      <c r="J434" s="8">
        <f>IFERROR(__xludf.DUMMYFUNCTION("""COMPUTED_VALUE"""),0.7554861111111111)</f>
        <v>0.7554861111</v>
      </c>
      <c r="K434" s="9">
        <f t="shared" si="1"/>
        <v>10</v>
      </c>
      <c r="L434" s="7">
        <f>IFERROR(__xludf.DUMMYFUNCTION("SPLIT(C434,""T""""Z"")"),44798.0)</f>
        <v>44798</v>
      </c>
      <c r="M434" s="8">
        <f>IFERROR(__xludf.DUMMYFUNCTION("""COMPUTED_VALUE"""),0.5622800925925926)</f>
        <v>0.5622800926</v>
      </c>
      <c r="N434" s="10">
        <f t="shared" si="2"/>
        <v>133.4947222</v>
      </c>
      <c r="O434" s="11">
        <f t="shared" si="3"/>
        <v>0.6397849462</v>
      </c>
    </row>
    <row r="435">
      <c r="A435" s="1" t="s">
        <v>1335</v>
      </c>
      <c r="B435" s="1" t="s">
        <v>1336</v>
      </c>
      <c r="C435" s="1" t="s">
        <v>1337</v>
      </c>
      <c r="D435" s="1">
        <v>112.0</v>
      </c>
      <c r="E435" s="1" t="s">
        <v>161</v>
      </c>
      <c r="F435" s="1">
        <v>1964.0</v>
      </c>
      <c r="G435" s="1">
        <v>1551.0</v>
      </c>
      <c r="H435" s="1">
        <v>1194.0</v>
      </c>
      <c r="I435" s="7">
        <f>IFERROR(__xludf.DUMMYFUNCTION("SPLIT(B435,""T""""Z"")"),43557.0)</f>
        <v>43557</v>
      </c>
      <c r="J435" s="8">
        <f>IFERROR(__xludf.DUMMYFUNCTION("""COMPUTED_VALUE"""),0.1411111111111111)</f>
        <v>0.1411111111</v>
      </c>
      <c r="K435" s="9">
        <f t="shared" si="1"/>
        <v>3</v>
      </c>
      <c r="L435" s="7">
        <f>IFERROR(__xludf.DUMMYFUNCTION("SPLIT(C435,""T""""Z"")"),44798.0)</f>
        <v>44798</v>
      </c>
      <c r="M435" s="8">
        <f>IFERROR(__xludf.DUMMYFUNCTION("""COMPUTED_VALUE"""),0.6036921296296296)</f>
        <v>0.6036921296</v>
      </c>
      <c r="N435" s="10">
        <f t="shared" si="2"/>
        <v>134.4886111</v>
      </c>
      <c r="O435" s="11">
        <f t="shared" si="3"/>
        <v>0.7698259188</v>
      </c>
    </row>
    <row r="436">
      <c r="A436" s="1" t="s">
        <v>1338</v>
      </c>
      <c r="B436" s="1" t="s">
        <v>1339</v>
      </c>
      <c r="C436" s="1" t="s">
        <v>1340</v>
      </c>
      <c r="D436" s="1">
        <v>75.0</v>
      </c>
      <c r="E436" s="1" t="s">
        <v>48</v>
      </c>
      <c r="F436" s="1">
        <v>865.0</v>
      </c>
      <c r="G436" s="1">
        <v>1258.0</v>
      </c>
      <c r="H436" s="1">
        <v>1208.0</v>
      </c>
      <c r="I436" s="7">
        <f>IFERROR(__xludf.DUMMYFUNCTION("SPLIT(B436,""T""""Z"")"),40748.0)</f>
        <v>40748</v>
      </c>
      <c r="J436" s="8">
        <f>IFERROR(__xludf.DUMMYFUNCTION("""COMPUTED_VALUE"""),0.5526736111111111)</f>
        <v>0.5526736111</v>
      </c>
      <c r="K436" s="9">
        <f t="shared" si="1"/>
        <v>11</v>
      </c>
      <c r="L436" s="7">
        <f>IFERROR(__xludf.DUMMYFUNCTION("SPLIT(C436,""T""""Z"")"),44798.0)</f>
        <v>44798</v>
      </c>
      <c r="M436" s="8">
        <f>IFERROR(__xludf.DUMMYFUNCTION("""COMPUTED_VALUE"""),0.5733217592592592)</f>
        <v>0.5733217593</v>
      </c>
      <c r="N436" s="10">
        <f t="shared" si="2"/>
        <v>133.7597222</v>
      </c>
      <c r="O436" s="11">
        <f t="shared" si="3"/>
        <v>0.960254372</v>
      </c>
    </row>
    <row r="437">
      <c r="A437" s="1" t="s">
        <v>1341</v>
      </c>
      <c r="B437" s="1" t="s">
        <v>1342</v>
      </c>
      <c r="C437" s="1" t="s">
        <v>1343</v>
      </c>
      <c r="D437" s="1">
        <v>0.0</v>
      </c>
      <c r="E437" s="1" t="s">
        <v>599</v>
      </c>
      <c r="F437" s="1">
        <v>62.0</v>
      </c>
      <c r="G437" s="1">
        <v>794.0</v>
      </c>
      <c r="H437" s="1">
        <v>690.0</v>
      </c>
      <c r="I437" s="7">
        <f>IFERROR(__xludf.DUMMYFUNCTION("SPLIT(B437,""T""""Z"")"),42909.0)</f>
        <v>42909</v>
      </c>
      <c r="J437" s="8">
        <f>IFERROR(__xludf.DUMMYFUNCTION("""COMPUTED_VALUE"""),0.26100694444444444)</f>
        <v>0.2610069444</v>
      </c>
      <c r="K437" s="9">
        <f t="shared" si="1"/>
        <v>5</v>
      </c>
      <c r="L437" s="7">
        <f>IFERROR(__xludf.DUMMYFUNCTION("SPLIT(C437,""T""""Z"")"),44798.0)</f>
        <v>44798</v>
      </c>
      <c r="M437" s="8">
        <f>IFERROR(__xludf.DUMMYFUNCTION("""COMPUTED_VALUE"""),0.4263194444444444)</f>
        <v>0.4263194444</v>
      </c>
      <c r="N437" s="10">
        <f t="shared" si="2"/>
        <v>130.2316667</v>
      </c>
      <c r="O437" s="11">
        <f t="shared" si="3"/>
        <v>0.8690176322</v>
      </c>
    </row>
    <row r="438">
      <c r="A438" s="1" t="s">
        <v>1344</v>
      </c>
      <c r="B438" s="1" t="s">
        <v>1345</v>
      </c>
      <c r="C438" s="1" t="s">
        <v>1346</v>
      </c>
      <c r="D438" s="1">
        <v>0.0</v>
      </c>
      <c r="E438" s="1" t="s">
        <v>161</v>
      </c>
      <c r="F438" s="1">
        <v>1059.0</v>
      </c>
      <c r="G438" s="1">
        <v>109.0</v>
      </c>
      <c r="H438" s="1">
        <v>100.0</v>
      </c>
      <c r="I438" s="7">
        <f>IFERROR(__xludf.DUMMYFUNCTION("SPLIT(B438,""T""""Z"")"),41837.0)</f>
        <v>41837</v>
      </c>
      <c r="J438" s="8">
        <f>IFERROR(__xludf.DUMMYFUNCTION("""COMPUTED_VALUE"""),0.4480324074074074)</f>
        <v>0.4480324074</v>
      </c>
      <c r="K438" s="9">
        <f t="shared" si="1"/>
        <v>8</v>
      </c>
      <c r="L438" s="7">
        <f>IFERROR(__xludf.DUMMYFUNCTION("SPLIT(C438,""T""""Z"")"),44798.0)</f>
        <v>44798</v>
      </c>
      <c r="M438" s="8">
        <f>IFERROR(__xludf.DUMMYFUNCTION("""COMPUTED_VALUE"""),0.5804513888888889)</f>
        <v>0.5804513889</v>
      </c>
      <c r="N438" s="10">
        <f t="shared" si="2"/>
        <v>133.9308333</v>
      </c>
      <c r="O438" s="11">
        <f t="shared" si="3"/>
        <v>0.9174311927</v>
      </c>
    </row>
    <row r="439">
      <c r="A439" s="1" t="s">
        <v>1347</v>
      </c>
      <c r="B439" s="1" t="s">
        <v>1348</v>
      </c>
      <c r="C439" s="1" t="s">
        <v>1349</v>
      </c>
      <c r="D439" s="1">
        <v>0.0</v>
      </c>
      <c r="E439" s="1" t="s">
        <v>439</v>
      </c>
      <c r="F439" s="1">
        <v>9328.0</v>
      </c>
      <c r="G439" s="1">
        <v>5243.0</v>
      </c>
      <c r="H439" s="1">
        <v>4752.0</v>
      </c>
      <c r="I439" s="7">
        <f>IFERROR(__xludf.DUMMYFUNCTION("SPLIT(B439,""T""""Z"")"),40785.0)</f>
        <v>40785</v>
      </c>
      <c r="J439" s="8">
        <f>IFERROR(__xludf.DUMMYFUNCTION("""COMPUTED_VALUE"""),0.25925925925925924)</f>
        <v>0.2592592593</v>
      </c>
      <c r="K439" s="9">
        <f t="shared" si="1"/>
        <v>11</v>
      </c>
      <c r="L439" s="7">
        <f>IFERROR(__xludf.DUMMYFUNCTION("SPLIT(C439,""T""""Z"")"),44798.0)</f>
        <v>44798</v>
      </c>
      <c r="M439" s="8">
        <f>IFERROR(__xludf.DUMMYFUNCTION("""COMPUTED_VALUE"""),0.6078819444444444)</f>
        <v>0.6078819444</v>
      </c>
      <c r="N439" s="10">
        <f t="shared" si="2"/>
        <v>134.5891667</v>
      </c>
      <c r="O439" s="11">
        <f t="shared" si="3"/>
        <v>0.9063513256</v>
      </c>
    </row>
    <row r="440">
      <c r="A440" s="1" t="s">
        <v>1350</v>
      </c>
      <c r="B440" s="1" t="s">
        <v>1351</v>
      </c>
      <c r="C440" s="1" t="s">
        <v>1352</v>
      </c>
      <c r="D440" s="1">
        <v>158.0</v>
      </c>
      <c r="E440" s="1" t="s">
        <v>95</v>
      </c>
      <c r="F440" s="1">
        <v>2739.0</v>
      </c>
      <c r="G440" s="1">
        <v>13143.0</v>
      </c>
      <c r="H440" s="1">
        <v>11623.0</v>
      </c>
      <c r="I440" s="7">
        <f>IFERROR(__xludf.DUMMYFUNCTION("SPLIT(B440,""T""""Z"")"),42298.0)</f>
        <v>42298</v>
      </c>
      <c r="J440" s="8">
        <f>IFERROR(__xludf.DUMMYFUNCTION("""COMPUTED_VALUE"""),0.35171296296296295)</f>
        <v>0.351712963</v>
      </c>
      <c r="K440" s="9">
        <f t="shared" si="1"/>
        <v>6</v>
      </c>
      <c r="L440" s="7">
        <f>IFERROR(__xludf.DUMMYFUNCTION("SPLIT(C440,""T""""Z"")"),44798.0)</f>
        <v>44798</v>
      </c>
      <c r="M440" s="8">
        <f>IFERROR(__xludf.DUMMYFUNCTION("""COMPUTED_VALUE"""),0.6040740740740741)</f>
        <v>0.6040740741</v>
      </c>
      <c r="N440" s="10">
        <f t="shared" si="2"/>
        <v>134.4977778</v>
      </c>
      <c r="O440" s="11">
        <f t="shared" si="3"/>
        <v>0.8843490832</v>
      </c>
    </row>
    <row r="441">
      <c r="A441" s="1" t="s">
        <v>1353</v>
      </c>
      <c r="B441" s="1" t="s">
        <v>1354</v>
      </c>
      <c r="C441" s="1" t="s">
        <v>1355</v>
      </c>
      <c r="D441" s="1">
        <v>0.0</v>
      </c>
      <c r="E441" s="1" t="s">
        <v>68</v>
      </c>
      <c r="F441" s="1">
        <v>16.0</v>
      </c>
      <c r="G441" s="1">
        <v>326.0</v>
      </c>
      <c r="H441" s="1">
        <v>178.0</v>
      </c>
      <c r="I441" s="7">
        <f>IFERROR(__xludf.DUMMYFUNCTION("SPLIT(B441,""T""""Z"")"),42546.0)</f>
        <v>42546</v>
      </c>
      <c r="J441" s="8">
        <f>IFERROR(__xludf.DUMMYFUNCTION("""COMPUTED_VALUE"""),0.25636574074074076)</f>
        <v>0.2563657407</v>
      </c>
      <c r="K441" s="9">
        <f t="shared" si="1"/>
        <v>6</v>
      </c>
      <c r="L441" s="7">
        <f>IFERROR(__xludf.DUMMYFUNCTION("SPLIT(C441,""T""""Z"")"),44798.0)</f>
        <v>44798</v>
      </c>
      <c r="M441" s="8">
        <f>IFERROR(__xludf.DUMMYFUNCTION("""COMPUTED_VALUE"""),0.24688657407407408)</f>
        <v>0.2468865741</v>
      </c>
      <c r="N441" s="10">
        <f t="shared" si="2"/>
        <v>125.9252778</v>
      </c>
      <c r="O441" s="11">
        <f t="shared" si="3"/>
        <v>0.5460122699</v>
      </c>
    </row>
    <row r="442">
      <c r="A442" s="1" t="s">
        <v>1356</v>
      </c>
      <c r="B442" s="1" t="s">
        <v>1357</v>
      </c>
      <c r="C442" s="1" t="s">
        <v>1358</v>
      </c>
      <c r="D442" s="1">
        <v>8.0</v>
      </c>
      <c r="E442" s="1" t="s">
        <v>161</v>
      </c>
      <c r="F442" s="1">
        <v>307.0</v>
      </c>
      <c r="G442" s="1">
        <v>746.0</v>
      </c>
      <c r="H442" s="1">
        <v>453.0</v>
      </c>
      <c r="I442" s="7">
        <f>IFERROR(__xludf.DUMMYFUNCTION("SPLIT(B442,""T""""Z"")"),44102.0)</f>
        <v>44102</v>
      </c>
      <c r="J442" s="8">
        <f>IFERROR(__xludf.DUMMYFUNCTION("""COMPUTED_VALUE"""),0.6500925925925926)</f>
        <v>0.6500925926</v>
      </c>
      <c r="K442" s="9">
        <f t="shared" si="1"/>
        <v>1</v>
      </c>
      <c r="L442" s="7">
        <f>IFERROR(__xludf.DUMMYFUNCTION("SPLIT(C442,""T""""Z"")"),44798.0)</f>
        <v>44798</v>
      </c>
      <c r="M442" s="8">
        <f>IFERROR(__xludf.DUMMYFUNCTION("""COMPUTED_VALUE"""),0.5788425925925926)</f>
        <v>0.5788425926</v>
      </c>
      <c r="N442" s="10">
        <f t="shared" si="2"/>
        <v>133.8922222</v>
      </c>
      <c r="O442" s="11">
        <f t="shared" si="3"/>
        <v>0.6072386059</v>
      </c>
    </row>
    <row r="443">
      <c r="A443" s="1" t="s">
        <v>1359</v>
      </c>
      <c r="B443" s="1" t="s">
        <v>1360</v>
      </c>
      <c r="C443" s="1" t="s">
        <v>1361</v>
      </c>
      <c r="D443" s="1">
        <v>0.0</v>
      </c>
      <c r="E443" s="1" t="s">
        <v>95</v>
      </c>
      <c r="F443" s="1">
        <v>7.0</v>
      </c>
      <c r="G443" s="1">
        <v>105.0</v>
      </c>
      <c r="H443" s="1">
        <v>97.0</v>
      </c>
      <c r="I443" s="7">
        <f>IFERROR(__xludf.DUMMYFUNCTION("SPLIT(B443,""T""""Z"")"),42679.0)</f>
        <v>42679</v>
      </c>
      <c r="J443" s="8">
        <f>IFERROR(__xludf.DUMMYFUNCTION("""COMPUTED_VALUE"""),0.2309375)</f>
        <v>0.2309375</v>
      </c>
      <c r="K443" s="9">
        <f t="shared" si="1"/>
        <v>5</v>
      </c>
      <c r="L443" s="7">
        <f>IFERROR(__xludf.DUMMYFUNCTION("SPLIT(C443,""T""""Z"")"),44798.0)</f>
        <v>44798</v>
      </c>
      <c r="M443" s="8">
        <f>IFERROR(__xludf.DUMMYFUNCTION("""COMPUTED_VALUE"""),0.32908564814814817)</f>
        <v>0.3290856481</v>
      </c>
      <c r="N443" s="10">
        <f t="shared" si="2"/>
        <v>127.8980556</v>
      </c>
      <c r="O443" s="11">
        <f t="shared" si="3"/>
        <v>0.9238095238</v>
      </c>
    </row>
    <row r="444">
      <c r="A444" s="1" t="s">
        <v>1362</v>
      </c>
      <c r="B444" s="1" t="s">
        <v>1363</v>
      </c>
      <c r="C444" s="1" t="s">
        <v>1364</v>
      </c>
      <c r="D444" s="1">
        <v>5.0</v>
      </c>
      <c r="E444" s="1" t="s">
        <v>48</v>
      </c>
      <c r="F444" s="1">
        <v>719.0</v>
      </c>
      <c r="G444" s="1">
        <v>761.0</v>
      </c>
      <c r="H444" s="1">
        <v>629.0</v>
      </c>
      <c r="I444" s="7">
        <f>IFERROR(__xludf.DUMMYFUNCTION("SPLIT(B444,""T""""Z"")"),40697.0)</f>
        <v>40697</v>
      </c>
      <c r="J444" s="8">
        <f>IFERROR(__xludf.DUMMYFUNCTION("""COMPUTED_VALUE"""),0.8309375)</f>
        <v>0.8309375</v>
      </c>
      <c r="K444" s="9">
        <f t="shared" si="1"/>
        <v>11</v>
      </c>
      <c r="L444" s="7">
        <f>IFERROR(__xludf.DUMMYFUNCTION("SPLIT(C444,""T""""Z"")"),44798.0)</f>
        <v>44798</v>
      </c>
      <c r="M444" s="8">
        <f>IFERROR(__xludf.DUMMYFUNCTION("""COMPUTED_VALUE"""),0.4362152777777778)</f>
        <v>0.4362152778</v>
      </c>
      <c r="N444" s="10">
        <f t="shared" si="2"/>
        <v>130.4691667</v>
      </c>
      <c r="O444" s="11">
        <f t="shared" si="3"/>
        <v>0.826544021</v>
      </c>
    </row>
    <row r="445">
      <c r="A445" s="1" t="s">
        <v>1365</v>
      </c>
      <c r="B445" s="1" t="s">
        <v>1366</v>
      </c>
      <c r="C445" s="1" t="s">
        <v>1367</v>
      </c>
      <c r="D445" s="1">
        <v>0.0</v>
      </c>
      <c r="E445" s="1" t="s">
        <v>48</v>
      </c>
      <c r="F445" s="1">
        <v>858.0</v>
      </c>
      <c r="G445" s="1">
        <v>2395.0</v>
      </c>
      <c r="H445" s="1">
        <v>2350.0</v>
      </c>
      <c r="I445" s="7">
        <f>IFERROR(__xludf.DUMMYFUNCTION("SPLIT(B445,""T""""Z"")"),40451.0)</f>
        <v>40451</v>
      </c>
      <c r="J445" s="8">
        <f>IFERROR(__xludf.DUMMYFUNCTION("""COMPUTED_VALUE"""),0.820462962962963)</f>
        <v>0.820462963</v>
      </c>
      <c r="K445" s="9">
        <f t="shared" si="1"/>
        <v>11</v>
      </c>
      <c r="L445" s="7">
        <f>IFERROR(__xludf.DUMMYFUNCTION("SPLIT(C445,""T""""Z"")"),44798.0)</f>
        <v>44798</v>
      </c>
      <c r="M445" s="8">
        <f>IFERROR(__xludf.DUMMYFUNCTION("""COMPUTED_VALUE"""),0.5683796296296296)</f>
        <v>0.5683796296</v>
      </c>
      <c r="N445" s="10">
        <f t="shared" si="2"/>
        <v>133.6411111</v>
      </c>
      <c r="O445" s="11">
        <f t="shared" si="3"/>
        <v>0.9812108559</v>
      </c>
    </row>
    <row r="446">
      <c r="A446" s="1" t="s">
        <v>1368</v>
      </c>
      <c r="B446" s="1" t="s">
        <v>1369</v>
      </c>
      <c r="C446" s="1" t="s">
        <v>1370</v>
      </c>
      <c r="D446" s="1">
        <v>0.0</v>
      </c>
      <c r="E446" s="13" t="s">
        <v>22</v>
      </c>
      <c r="F446" s="1">
        <v>3.0</v>
      </c>
      <c r="G446" s="1">
        <v>300.0</v>
      </c>
      <c r="H446" s="1">
        <v>95.0</v>
      </c>
      <c r="I446" s="7">
        <f>IFERROR(__xludf.DUMMYFUNCTION("SPLIT(B446,""T""""Z"")"),42807.0)</f>
        <v>42807</v>
      </c>
      <c r="J446" s="8">
        <f>IFERROR(__xludf.DUMMYFUNCTION("""COMPUTED_VALUE"""),0.4198263888888889)</f>
        <v>0.4198263889</v>
      </c>
      <c r="K446" s="9">
        <f t="shared" si="1"/>
        <v>5</v>
      </c>
      <c r="L446" s="7">
        <f>IFERROR(__xludf.DUMMYFUNCTION("SPLIT(C446,""T""""Z"")"),44798.0)</f>
        <v>44798</v>
      </c>
      <c r="M446" s="8">
        <f>IFERROR(__xludf.DUMMYFUNCTION("""COMPUTED_VALUE"""),0.48486111111111113)</f>
        <v>0.4848611111</v>
      </c>
      <c r="N446" s="12">
        <f t="shared" si="2"/>
        <v>131.6366667</v>
      </c>
      <c r="O446" s="11">
        <f t="shared" si="3"/>
        <v>0.3166666667</v>
      </c>
    </row>
    <row r="447">
      <c r="A447" s="1" t="s">
        <v>1371</v>
      </c>
      <c r="B447" s="1" t="s">
        <v>1372</v>
      </c>
      <c r="C447" s="1" t="s">
        <v>1373</v>
      </c>
      <c r="D447" s="1">
        <v>0.0</v>
      </c>
      <c r="E447" s="13" t="s">
        <v>22</v>
      </c>
      <c r="F447" s="1">
        <v>10.0</v>
      </c>
      <c r="G447" s="1">
        <v>372.0</v>
      </c>
      <c r="H447" s="1">
        <v>217.0</v>
      </c>
      <c r="I447" s="7">
        <f>IFERROR(__xludf.DUMMYFUNCTION("SPLIT(B447,""T""""Z"")"),41444.0)</f>
        <v>41444</v>
      </c>
      <c r="J447" s="8">
        <f>IFERROR(__xludf.DUMMYFUNCTION("""COMPUTED_VALUE"""),0.43385416666666665)</f>
        <v>0.4338541667</v>
      </c>
      <c r="K447" s="9">
        <f t="shared" si="1"/>
        <v>9</v>
      </c>
      <c r="L447" s="7">
        <f>IFERROR(__xludf.DUMMYFUNCTION("SPLIT(C447,""T""""Z"")"),44798.0)</f>
        <v>44798</v>
      </c>
      <c r="M447" s="8">
        <f>IFERROR(__xludf.DUMMYFUNCTION("""COMPUTED_VALUE"""),0.35790509259259257)</f>
        <v>0.3579050926</v>
      </c>
      <c r="N447" s="12">
        <f t="shared" si="2"/>
        <v>128.5897222</v>
      </c>
      <c r="O447" s="11">
        <f t="shared" si="3"/>
        <v>0.5833333333</v>
      </c>
    </row>
    <row r="448">
      <c r="A448" s="1" t="s">
        <v>1374</v>
      </c>
      <c r="B448" s="1" t="s">
        <v>1375</v>
      </c>
      <c r="C448" s="1" t="s">
        <v>1376</v>
      </c>
      <c r="D448" s="1">
        <v>37.0</v>
      </c>
      <c r="E448" s="1" t="s">
        <v>68</v>
      </c>
      <c r="F448" s="1">
        <v>1158.0</v>
      </c>
      <c r="G448" s="1">
        <v>2484.0</v>
      </c>
      <c r="H448" s="1">
        <v>1734.0</v>
      </c>
      <c r="I448" s="7">
        <f>IFERROR(__xludf.DUMMYFUNCTION("SPLIT(B448,""T""""Z"")"),42364.0)</f>
        <v>42364</v>
      </c>
      <c r="J448" s="8">
        <f>IFERROR(__xludf.DUMMYFUNCTION("""COMPUTED_VALUE"""),0.5392708333333334)</f>
        <v>0.5392708333</v>
      </c>
      <c r="K448" s="9">
        <f t="shared" si="1"/>
        <v>6</v>
      </c>
      <c r="L448" s="7">
        <f>IFERROR(__xludf.DUMMYFUNCTION("SPLIT(C448,""T""""Z"")"),44798.0)</f>
        <v>44798</v>
      </c>
      <c r="M448" s="8">
        <f>IFERROR(__xludf.DUMMYFUNCTION("""COMPUTED_VALUE"""),0.5546643518518518)</f>
        <v>0.5546643519</v>
      </c>
      <c r="N448" s="10">
        <f t="shared" si="2"/>
        <v>133.3119444</v>
      </c>
      <c r="O448" s="11">
        <f t="shared" si="3"/>
        <v>0.6980676329</v>
      </c>
    </row>
    <row r="449">
      <c r="A449" s="1" t="s">
        <v>1377</v>
      </c>
      <c r="B449" s="1" t="s">
        <v>1378</v>
      </c>
      <c r="C449" s="1" t="s">
        <v>1379</v>
      </c>
      <c r="D449" s="1">
        <v>150.0</v>
      </c>
      <c r="E449" s="1" t="s">
        <v>18</v>
      </c>
      <c r="F449" s="1">
        <v>2109.0</v>
      </c>
      <c r="G449" s="1">
        <v>5030.0</v>
      </c>
      <c r="H449" s="1">
        <v>3295.0</v>
      </c>
      <c r="I449" s="7">
        <f>IFERROR(__xludf.DUMMYFUNCTION("SPLIT(B449,""T""""Z"")"),43269.0)</f>
        <v>43269</v>
      </c>
      <c r="J449" s="8">
        <f>IFERROR(__xludf.DUMMYFUNCTION("""COMPUTED_VALUE"""),0.33166666666666667)</f>
        <v>0.3316666667</v>
      </c>
      <c r="K449" s="9">
        <f t="shared" si="1"/>
        <v>4</v>
      </c>
      <c r="L449" s="7">
        <f>IFERROR(__xludf.DUMMYFUNCTION("SPLIT(C449,""T""""Z"")"),44798.0)</f>
        <v>44798</v>
      </c>
      <c r="M449" s="8">
        <f>IFERROR(__xludf.DUMMYFUNCTION("""COMPUTED_VALUE"""),0.5997800925925926)</f>
        <v>0.5997800926</v>
      </c>
      <c r="N449" s="10">
        <f t="shared" si="2"/>
        <v>134.3947222</v>
      </c>
      <c r="O449" s="11">
        <f t="shared" si="3"/>
        <v>0.6550695825</v>
      </c>
    </row>
    <row r="450">
      <c r="A450" s="1" t="s">
        <v>1380</v>
      </c>
      <c r="B450" s="1" t="s">
        <v>1381</v>
      </c>
      <c r="C450" s="1" t="s">
        <v>1382</v>
      </c>
      <c r="D450" s="1">
        <v>67.0</v>
      </c>
      <c r="E450" s="1" t="s">
        <v>48</v>
      </c>
      <c r="F450" s="1">
        <v>521.0</v>
      </c>
      <c r="G450" s="1">
        <v>1493.0</v>
      </c>
      <c r="H450" s="1">
        <v>1002.0</v>
      </c>
      <c r="I450" s="7">
        <f>IFERROR(__xludf.DUMMYFUNCTION("SPLIT(B450,""T""""Z"")"),42956.0)</f>
        <v>42956</v>
      </c>
      <c r="J450" s="8">
        <f>IFERROR(__xludf.DUMMYFUNCTION("""COMPUTED_VALUE"""),0.15086805555555555)</f>
        <v>0.1508680556</v>
      </c>
      <c r="K450" s="9">
        <f t="shared" si="1"/>
        <v>5</v>
      </c>
      <c r="L450" s="7">
        <f>IFERROR(__xludf.DUMMYFUNCTION("SPLIT(C450,""T""""Z"")"),44798.0)</f>
        <v>44798</v>
      </c>
      <c r="M450" s="8">
        <f>IFERROR(__xludf.DUMMYFUNCTION("""COMPUTED_VALUE"""),0.6073263888888889)</f>
        <v>0.6073263889</v>
      </c>
      <c r="N450" s="10">
        <f t="shared" si="2"/>
        <v>134.5758333</v>
      </c>
      <c r="O450" s="11">
        <f t="shared" si="3"/>
        <v>0.6711319491</v>
      </c>
    </row>
    <row r="451">
      <c r="A451" s="1" t="s">
        <v>1383</v>
      </c>
      <c r="B451" s="1" t="s">
        <v>1384</v>
      </c>
      <c r="C451" s="1" t="s">
        <v>1385</v>
      </c>
      <c r="D451" s="1">
        <v>30.0</v>
      </c>
      <c r="E451" s="1" t="s">
        <v>599</v>
      </c>
      <c r="F451" s="1">
        <v>828.0</v>
      </c>
      <c r="G451" s="1">
        <v>1436.0</v>
      </c>
      <c r="H451" s="1">
        <v>1363.0</v>
      </c>
      <c r="I451" s="7">
        <f>IFERROR(__xludf.DUMMYFUNCTION("SPLIT(B451,""T""""Z"")"),42123.0)</f>
        <v>42123</v>
      </c>
      <c r="J451" s="8">
        <f>IFERROR(__xludf.DUMMYFUNCTION("""COMPUTED_VALUE"""),0.9960185185185185)</f>
        <v>0.9960185185</v>
      </c>
      <c r="K451" s="9">
        <f t="shared" si="1"/>
        <v>7</v>
      </c>
      <c r="L451" s="7">
        <f>IFERROR(__xludf.DUMMYFUNCTION("SPLIT(C451,""T""""Z"")"),44798.0)</f>
        <v>44798</v>
      </c>
      <c r="M451" s="8">
        <f>IFERROR(__xludf.DUMMYFUNCTION("""COMPUTED_VALUE"""),0.5625694444444445)</f>
        <v>0.5625694444</v>
      </c>
      <c r="N451" s="10">
        <f t="shared" si="2"/>
        <v>133.5016667</v>
      </c>
      <c r="O451" s="11">
        <f t="shared" si="3"/>
        <v>0.9491643454</v>
      </c>
    </row>
    <row r="452">
      <c r="A452" s="1" t="s">
        <v>1386</v>
      </c>
      <c r="B452" s="1" t="s">
        <v>1387</v>
      </c>
      <c r="C452" s="1" t="s">
        <v>1388</v>
      </c>
      <c r="D452" s="1">
        <v>0.0</v>
      </c>
      <c r="E452" s="1" t="s">
        <v>48</v>
      </c>
      <c r="F452" s="1">
        <v>175.0</v>
      </c>
      <c r="G452" s="1">
        <v>69.0</v>
      </c>
      <c r="H452" s="1">
        <v>39.0</v>
      </c>
      <c r="I452" s="7">
        <f>IFERROR(__xludf.DUMMYFUNCTION("SPLIT(B452,""T""""Z"")"),41582.0)</f>
        <v>41582</v>
      </c>
      <c r="J452" s="8">
        <f>IFERROR(__xludf.DUMMYFUNCTION("""COMPUTED_VALUE"""),0.08533564814814815)</f>
        <v>0.08533564815</v>
      </c>
      <c r="K452" s="9">
        <f t="shared" si="1"/>
        <v>8</v>
      </c>
      <c r="L452" s="7">
        <f>IFERROR(__xludf.DUMMYFUNCTION("SPLIT(C452,""T""""Z"")"),44798.0)</f>
        <v>44798</v>
      </c>
      <c r="M452" s="8">
        <f>IFERROR(__xludf.DUMMYFUNCTION("""COMPUTED_VALUE"""),0.5689120370370371)</f>
        <v>0.568912037</v>
      </c>
      <c r="N452" s="10">
        <f t="shared" si="2"/>
        <v>133.6538889</v>
      </c>
      <c r="O452" s="11">
        <f t="shared" si="3"/>
        <v>0.5652173913</v>
      </c>
    </row>
    <row r="453">
      <c r="A453" s="1" t="s">
        <v>1389</v>
      </c>
      <c r="B453" s="1" t="s">
        <v>1390</v>
      </c>
      <c r="C453" s="1" t="s">
        <v>1391</v>
      </c>
      <c r="D453" s="1">
        <v>51.0</v>
      </c>
      <c r="E453" s="1" t="s">
        <v>48</v>
      </c>
      <c r="F453" s="1">
        <v>653.0</v>
      </c>
      <c r="G453" s="1">
        <v>1240.0</v>
      </c>
      <c r="H453" s="1">
        <v>1154.0</v>
      </c>
      <c r="I453" s="7">
        <f>IFERROR(__xludf.DUMMYFUNCTION("SPLIT(B453,""T""""Z"")"),42201.0)</f>
        <v>42201</v>
      </c>
      <c r="J453" s="8">
        <f>IFERROR(__xludf.DUMMYFUNCTION("""COMPUTED_VALUE"""),0.18155092592592592)</f>
        <v>0.1815509259</v>
      </c>
      <c r="K453" s="9">
        <f t="shared" si="1"/>
        <v>7</v>
      </c>
      <c r="L453" s="7">
        <f>IFERROR(__xludf.DUMMYFUNCTION("SPLIT(C453,""T""""Z"")"),44798.0)</f>
        <v>44798</v>
      </c>
      <c r="M453" s="8">
        <f>IFERROR(__xludf.DUMMYFUNCTION("""COMPUTED_VALUE"""),0.38895833333333335)</f>
        <v>0.3889583333</v>
      </c>
      <c r="N453" s="10">
        <f t="shared" si="2"/>
        <v>129.335</v>
      </c>
      <c r="O453" s="11">
        <f t="shared" si="3"/>
        <v>0.9306451613</v>
      </c>
    </row>
    <row r="454">
      <c r="A454" s="1" t="s">
        <v>1392</v>
      </c>
      <c r="B454" s="1" t="s">
        <v>1393</v>
      </c>
      <c r="C454" s="1" t="s">
        <v>1394</v>
      </c>
      <c r="D454" s="1">
        <v>548.0</v>
      </c>
      <c r="E454" s="1" t="s">
        <v>228</v>
      </c>
      <c r="F454" s="1">
        <v>12791.0</v>
      </c>
      <c r="G454" s="1">
        <v>16362.0</v>
      </c>
      <c r="H454" s="1">
        <v>16360.0</v>
      </c>
      <c r="I454" s="7">
        <f>IFERROR(__xludf.DUMMYFUNCTION("SPLIT(B454,""T""""Z"")"),41284.0)</f>
        <v>41284</v>
      </c>
      <c r="J454" s="8">
        <f>IFERROR(__xludf.DUMMYFUNCTION("""COMPUTED_VALUE"""),0.894074074074074)</f>
        <v>0.8940740741</v>
      </c>
      <c r="K454" s="9">
        <f t="shared" si="1"/>
        <v>9</v>
      </c>
      <c r="L454" s="7">
        <f>IFERROR(__xludf.DUMMYFUNCTION("SPLIT(C454,""T""""Z"")"),44798.0)</f>
        <v>44798</v>
      </c>
      <c r="M454" s="8">
        <f>IFERROR(__xludf.DUMMYFUNCTION("""COMPUTED_VALUE"""),0.5779282407407408)</f>
        <v>0.5779282407</v>
      </c>
      <c r="N454" s="10">
        <f t="shared" si="2"/>
        <v>133.8702778</v>
      </c>
      <c r="O454" s="11">
        <f t="shared" si="3"/>
        <v>0.9998777656</v>
      </c>
    </row>
    <row r="455">
      <c r="A455" s="1" t="s">
        <v>1395</v>
      </c>
      <c r="B455" s="1" t="s">
        <v>1396</v>
      </c>
      <c r="C455" s="1" t="s">
        <v>1397</v>
      </c>
      <c r="D455" s="1">
        <v>7.0</v>
      </c>
      <c r="E455" s="1" t="s">
        <v>48</v>
      </c>
      <c r="F455" s="1">
        <v>478.0</v>
      </c>
      <c r="G455" s="1">
        <v>1102.0</v>
      </c>
      <c r="H455" s="1">
        <v>1097.0</v>
      </c>
      <c r="I455" s="7">
        <f>IFERROR(__xludf.DUMMYFUNCTION("SPLIT(B455,""T""""Z"")"),40330.0)</f>
        <v>40330</v>
      </c>
      <c r="J455" s="8">
        <f>IFERROR(__xludf.DUMMYFUNCTION("""COMPUTED_VALUE"""),0.8760416666666667)</f>
        <v>0.8760416667</v>
      </c>
      <c r="K455" s="9">
        <f t="shared" si="1"/>
        <v>12</v>
      </c>
      <c r="L455" s="7">
        <f>IFERROR(__xludf.DUMMYFUNCTION("SPLIT(C455,""T""""Z"")"),44798.0)</f>
        <v>44798</v>
      </c>
      <c r="M455" s="8">
        <f>IFERROR(__xludf.DUMMYFUNCTION("""COMPUTED_VALUE"""),0.37246527777777777)</f>
        <v>0.3724652778</v>
      </c>
      <c r="N455" s="10">
        <f t="shared" si="2"/>
        <v>128.9391667</v>
      </c>
      <c r="O455" s="11">
        <f t="shared" si="3"/>
        <v>0.9954627949</v>
      </c>
    </row>
    <row r="456">
      <c r="A456" s="1" t="s">
        <v>1398</v>
      </c>
      <c r="B456" s="1" t="s">
        <v>1399</v>
      </c>
      <c r="C456" s="1" t="s">
        <v>1400</v>
      </c>
      <c r="D456" s="1">
        <v>48.0</v>
      </c>
      <c r="E456" s="1" t="s">
        <v>48</v>
      </c>
      <c r="F456" s="1">
        <v>236.0</v>
      </c>
      <c r="G456" s="1">
        <v>3516.0</v>
      </c>
      <c r="H456" s="1">
        <v>2377.0</v>
      </c>
      <c r="I456" s="7">
        <f>IFERROR(__xludf.DUMMYFUNCTION("SPLIT(B456,""T""""Z"")"),41722.0)</f>
        <v>41722</v>
      </c>
      <c r="J456" s="8">
        <f>IFERROR(__xludf.DUMMYFUNCTION("""COMPUTED_VALUE"""),0.09033564814814815)</f>
        <v>0.09033564815</v>
      </c>
      <c r="K456" s="9">
        <f t="shared" si="1"/>
        <v>8</v>
      </c>
      <c r="L456" s="7">
        <f>IFERROR(__xludf.DUMMYFUNCTION("SPLIT(C456,""T""""Z"")"),44798.0)</f>
        <v>44798</v>
      </c>
      <c r="M456" s="8">
        <f>IFERROR(__xludf.DUMMYFUNCTION("""COMPUTED_VALUE"""),0.3562152777777778)</f>
        <v>0.3562152778</v>
      </c>
      <c r="N456" s="10">
        <f t="shared" si="2"/>
        <v>128.5491667</v>
      </c>
      <c r="O456" s="11">
        <f t="shared" si="3"/>
        <v>0.6760523322</v>
      </c>
    </row>
    <row r="457">
      <c r="A457" s="1" t="s">
        <v>1401</v>
      </c>
      <c r="B457" s="1" t="s">
        <v>1402</v>
      </c>
      <c r="C457" s="1" t="s">
        <v>1403</v>
      </c>
      <c r="D457" s="1">
        <v>0.0</v>
      </c>
      <c r="E457" s="1" t="s">
        <v>18</v>
      </c>
      <c r="F457" s="1">
        <v>2434.0</v>
      </c>
      <c r="G457" s="1">
        <v>3040.0</v>
      </c>
      <c r="H457" s="1">
        <v>2837.0</v>
      </c>
      <c r="I457" s="7">
        <f>IFERROR(__xludf.DUMMYFUNCTION("SPLIT(B457,""T""""Z"")"),42078.0)</f>
        <v>42078</v>
      </c>
      <c r="J457" s="8">
        <f>IFERROR(__xludf.DUMMYFUNCTION("""COMPUTED_VALUE"""),0.2619212962962963)</f>
        <v>0.2619212963</v>
      </c>
      <c r="K457" s="9">
        <f t="shared" si="1"/>
        <v>7</v>
      </c>
      <c r="L457" s="7">
        <f>IFERROR(__xludf.DUMMYFUNCTION("SPLIT(C457,""T""""Z"")"),44798.0)</f>
        <v>44798</v>
      </c>
      <c r="M457" s="8">
        <f>IFERROR(__xludf.DUMMYFUNCTION("""COMPUTED_VALUE"""),0.5104976851851852)</f>
        <v>0.5104976852</v>
      </c>
      <c r="N457" s="10">
        <f t="shared" si="2"/>
        <v>132.2519444</v>
      </c>
      <c r="O457" s="11">
        <f t="shared" si="3"/>
        <v>0.9332236842</v>
      </c>
    </row>
    <row r="458">
      <c r="A458" s="1" t="s">
        <v>1404</v>
      </c>
      <c r="B458" s="1" t="s">
        <v>1405</v>
      </c>
      <c r="C458" s="1" t="s">
        <v>1406</v>
      </c>
      <c r="D458" s="1">
        <v>0.0</v>
      </c>
      <c r="E458" s="1" t="s">
        <v>351</v>
      </c>
      <c r="F458" s="1">
        <v>89.0</v>
      </c>
      <c r="G458" s="1">
        <v>484.0</v>
      </c>
      <c r="H458" s="1">
        <v>456.0</v>
      </c>
      <c r="I458" s="7">
        <f>IFERROR(__xludf.DUMMYFUNCTION("SPLIT(B458,""T""""Z"")"),41058.0)</f>
        <v>41058</v>
      </c>
      <c r="J458" s="8">
        <f>IFERROR(__xludf.DUMMYFUNCTION("""COMPUTED_VALUE"""),0.6801967592592593)</f>
        <v>0.6801967593</v>
      </c>
      <c r="K458" s="9">
        <f t="shared" si="1"/>
        <v>10</v>
      </c>
      <c r="L458" s="7">
        <f>IFERROR(__xludf.DUMMYFUNCTION("SPLIT(C458,""T""""Z"")"),44797.0)</f>
        <v>44797</v>
      </c>
      <c r="M458" s="8">
        <f>IFERROR(__xludf.DUMMYFUNCTION("""COMPUTED_VALUE"""),0.8361111111111111)</f>
        <v>0.8361111111</v>
      </c>
      <c r="N458" s="10">
        <f t="shared" si="2"/>
        <v>164.0666667</v>
      </c>
      <c r="O458" s="11">
        <f t="shared" si="3"/>
        <v>0.9421487603</v>
      </c>
    </row>
    <row r="459">
      <c r="A459" s="1" t="s">
        <v>1407</v>
      </c>
      <c r="B459" s="1" t="s">
        <v>1408</v>
      </c>
      <c r="C459" s="1" t="s">
        <v>1409</v>
      </c>
      <c r="D459" s="1">
        <v>24.0</v>
      </c>
      <c r="E459" s="1" t="s">
        <v>48</v>
      </c>
      <c r="F459" s="1">
        <v>111.0</v>
      </c>
      <c r="G459" s="1">
        <v>101.0</v>
      </c>
      <c r="H459" s="1">
        <v>94.0</v>
      </c>
      <c r="I459" s="7">
        <f>IFERROR(__xludf.DUMMYFUNCTION("SPLIT(B459,""T""""Z"")"),42930.0)</f>
        <v>42930</v>
      </c>
      <c r="J459" s="8">
        <f>IFERROR(__xludf.DUMMYFUNCTION("""COMPUTED_VALUE"""),0.6543055555555556)</f>
        <v>0.6543055556</v>
      </c>
      <c r="K459" s="9">
        <f t="shared" si="1"/>
        <v>5</v>
      </c>
      <c r="L459" s="7">
        <f>IFERROR(__xludf.DUMMYFUNCTION("SPLIT(C459,""T""""Z"")"),44798.0)</f>
        <v>44798</v>
      </c>
      <c r="M459" s="8">
        <f>IFERROR(__xludf.DUMMYFUNCTION("""COMPUTED_VALUE"""),0.5665393518518519)</f>
        <v>0.5665393519</v>
      </c>
      <c r="N459" s="10">
        <f t="shared" si="2"/>
        <v>133.5969444</v>
      </c>
      <c r="O459" s="11">
        <f t="shared" si="3"/>
        <v>0.9306930693</v>
      </c>
    </row>
    <row r="460">
      <c r="A460" s="1" t="s">
        <v>1410</v>
      </c>
      <c r="B460" s="1" t="s">
        <v>1411</v>
      </c>
      <c r="C460" s="1" t="s">
        <v>1412</v>
      </c>
      <c r="D460" s="1">
        <v>58.0</v>
      </c>
      <c r="E460" s="1" t="s">
        <v>48</v>
      </c>
      <c r="F460" s="1">
        <v>189.0</v>
      </c>
      <c r="G460" s="1">
        <v>851.0</v>
      </c>
      <c r="H460" s="1">
        <v>834.0</v>
      </c>
      <c r="I460" s="7">
        <f>IFERROR(__xludf.DUMMYFUNCTION("SPLIT(B460,""T""""Z"")"),41813.0)</f>
        <v>41813</v>
      </c>
      <c r="J460" s="8">
        <f>IFERROR(__xludf.DUMMYFUNCTION("""COMPUTED_VALUE"""),0.5099652777777778)</f>
        <v>0.5099652778</v>
      </c>
      <c r="K460" s="9">
        <f t="shared" si="1"/>
        <v>8</v>
      </c>
      <c r="L460" s="7">
        <f>IFERROR(__xludf.DUMMYFUNCTION("SPLIT(C460,""T""""Z"")"),44798.0)</f>
        <v>44798</v>
      </c>
      <c r="M460" s="8">
        <f>IFERROR(__xludf.DUMMYFUNCTION("""COMPUTED_VALUE"""),0.577025462962963)</f>
        <v>0.577025463</v>
      </c>
      <c r="N460" s="10">
        <f t="shared" si="2"/>
        <v>133.8486111</v>
      </c>
      <c r="O460" s="11">
        <f t="shared" si="3"/>
        <v>0.9800235018</v>
      </c>
    </row>
    <row r="461">
      <c r="A461" s="1" t="s">
        <v>1413</v>
      </c>
      <c r="B461" s="1" t="s">
        <v>1414</v>
      </c>
      <c r="C461" s="1" t="s">
        <v>1415</v>
      </c>
      <c r="D461" s="1">
        <v>4.0</v>
      </c>
      <c r="E461" s="1" t="s">
        <v>48</v>
      </c>
      <c r="F461" s="1">
        <v>399.0</v>
      </c>
      <c r="G461" s="1">
        <v>1181.0</v>
      </c>
      <c r="H461" s="1">
        <v>1106.0</v>
      </c>
      <c r="I461" s="7">
        <f>IFERROR(__xludf.DUMMYFUNCTION("SPLIT(B461,""T""""Z"")"),42031.0)</f>
        <v>42031</v>
      </c>
      <c r="J461" s="8">
        <f>IFERROR(__xludf.DUMMYFUNCTION("""COMPUTED_VALUE"""),0.05799768518518519)</f>
        <v>0.05799768519</v>
      </c>
      <c r="K461" s="9">
        <f t="shared" si="1"/>
        <v>7</v>
      </c>
      <c r="L461" s="7">
        <f>IFERROR(__xludf.DUMMYFUNCTION("SPLIT(C461,""T""""Z"")"),44798.0)</f>
        <v>44798</v>
      </c>
      <c r="M461" s="8">
        <f>IFERROR(__xludf.DUMMYFUNCTION("""COMPUTED_VALUE"""),0.33402777777777776)</f>
        <v>0.3340277778</v>
      </c>
      <c r="N461" s="10">
        <f t="shared" si="2"/>
        <v>128.0166667</v>
      </c>
      <c r="O461" s="11">
        <f t="shared" si="3"/>
        <v>0.9364944962</v>
      </c>
    </row>
    <row r="462">
      <c r="A462" s="1" t="s">
        <v>1416</v>
      </c>
      <c r="B462" s="1" t="s">
        <v>1417</v>
      </c>
      <c r="C462" s="1" t="s">
        <v>1418</v>
      </c>
      <c r="D462" s="1">
        <v>375.0</v>
      </c>
      <c r="E462" s="1" t="s">
        <v>228</v>
      </c>
      <c r="F462" s="1">
        <v>18858.0</v>
      </c>
      <c r="G462" s="1">
        <v>17631.0</v>
      </c>
      <c r="H462" s="1">
        <v>17164.0</v>
      </c>
      <c r="I462" s="7">
        <f>IFERROR(__xludf.DUMMYFUNCTION("SPLIT(B462,""T""""Z"")"),40182.0)</f>
        <v>40182</v>
      </c>
      <c r="J462" s="8">
        <f>IFERROR(__xludf.DUMMYFUNCTION("""COMPUTED_VALUE"""),0.5981597222222222)</f>
        <v>0.5981597222</v>
      </c>
      <c r="K462" s="9">
        <f t="shared" si="1"/>
        <v>12</v>
      </c>
      <c r="L462" s="7">
        <f>IFERROR(__xludf.DUMMYFUNCTION("SPLIT(C462,""T""""Z"")"),44798.0)</f>
        <v>44798</v>
      </c>
      <c r="M462" s="8">
        <f>IFERROR(__xludf.DUMMYFUNCTION("""COMPUTED_VALUE"""),0.6066782407407407)</f>
        <v>0.6066782407</v>
      </c>
      <c r="N462" s="10">
        <f t="shared" si="2"/>
        <v>134.5602778</v>
      </c>
      <c r="O462" s="11">
        <f t="shared" si="3"/>
        <v>0.9735125631</v>
      </c>
    </row>
    <row r="463">
      <c r="A463" s="1" t="s">
        <v>1419</v>
      </c>
      <c r="B463" s="1" t="s">
        <v>1420</v>
      </c>
      <c r="C463" s="1" t="s">
        <v>1421</v>
      </c>
      <c r="D463" s="1">
        <v>34.0</v>
      </c>
      <c r="E463" s="1" t="s">
        <v>48</v>
      </c>
      <c r="F463" s="1">
        <v>94.0</v>
      </c>
      <c r="G463" s="1">
        <v>503.0</v>
      </c>
      <c r="H463" s="1">
        <v>429.0</v>
      </c>
      <c r="I463" s="7">
        <f>IFERROR(__xludf.DUMMYFUNCTION("SPLIT(B463,""T""""Z"")"),42179.0)</f>
        <v>42179</v>
      </c>
      <c r="J463" s="8">
        <f>IFERROR(__xludf.DUMMYFUNCTION("""COMPUTED_VALUE"""),0.11796296296296296)</f>
        <v>0.117962963</v>
      </c>
      <c r="K463" s="9">
        <f t="shared" si="1"/>
        <v>7</v>
      </c>
      <c r="L463" s="7">
        <f>IFERROR(__xludf.DUMMYFUNCTION("SPLIT(C463,""T""""Z"")"),44798.0)</f>
        <v>44798</v>
      </c>
      <c r="M463" s="8">
        <f>IFERROR(__xludf.DUMMYFUNCTION("""COMPUTED_VALUE"""),0.43969907407407405)</f>
        <v>0.4396990741</v>
      </c>
      <c r="N463" s="10">
        <f t="shared" si="2"/>
        <v>130.5527778</v>
      </c>
      <c r="O463" s="11">
        <f t="shared" si="3"/>
        <v>0.8528827038</v>
      </c>
    </row>
    <row r="464">
      <c r="A464" s="1" t="s">
        <v>1422</v>
      </c>
      <c r="B464" s="1" t="s">
        <v>1423</v>
      </c>
      <c r="C464" s="1" t="s">
        <v>1424</v>
      </c>
      <c r="D464" s="1">
        <v>5.0</v>
      </c>
      <c r="E464" s="1" t="s">
        <v>52</v>
      </c>
      <c r="F464" s="1">
        <v>731.0</v>
      </c>
      <c r="G464" s="1">
        <v>1983.0</v>
      </c>
      <c r="H464" s="1">
        <v>1757.0</v>
      </c>
      <c r="I464" s="7">
        <f>IFERROR(__xludf.DUMMYFUNCTION("SPLIT(B464,""T""""Z"")"),42213.0)</f>
        <v>42213</v>
      </c>
      <c r="J464" s="8">
        <f>IFERROR(__xludf.DUMMYFUNCTION("""COMPUTED_VALUE"""),0.630474537037037)</f>
        <v>0.630474537</v>
      </c>
      <c r="K464" s="9">
        <f t="shared" si="1"/>
        <v>7</v>
      </c>
      <c r="L464" s="7">
        <f>IFERROR(__xludf.DUMMYFUNCTION("SPLIT(C464,""T""""Z"")"),44798.0)</f>
        <v>44798</v>
      </c>
      <c r="M464" s="8">
        <f>IFERROR(__xludf.DUMMYFUNCTION("""COMPUTED_VALUE"""),0.5800925925925926)</f>
        <v>0.5800925926</v>
      </c>
      <c r="N464" s="10">
        <f t="shared" si="2"/>
        <v>133.9222222</v>
      </c>
      <c r="O464" s="11">
        <f t="shared" si="3"/>
        <v>0.8860312658</v>
      </c>
    </row>
    <row r="465">
      <c r="A465" s="1" t="s">
        <v>1425</v>
      </c>
      <c r="B465" s="1" t="s">
        <v>1426</v>
      </c>
      <c r="C465" s="1" t="s">
        <v>1427</v>
      </c>
      <c r="D465" s="1">
        <v>0.0</v>
      </c>
      <c r="E465" s="1" t="s">
        <v>48</v>
      </c>
      <c r="F465" s="1">
        <v>111.0</v>
      </c>
      <c r="G465" s="1">
        <v>2634.0</v>
      </c>
      <c r="H465" s="1">
        <v>1807.0</v>
      </c>
      <c r="I465" s="7">
        <f>IFERROR(__xludf.DUMMYFUNCTION("SPLIT(B465,""T""""Z"")"),42055.0)</f>
        <v>42055</v>
      </c>
      <c r="J465" s="8">
        <f>IFERROR(__xludf.DUMMYFUNCTION("""COMPUTED_VALUE"""),0.8770717592592593)</f>
        <v>0.8770717593</v>
      </c>
      <c r="K465" s="9">
        <f t="shared" si="1"/>
        <v>7</v>
      </c>
      <c r="L465" s="7">
        <f>IFERROR(__xludf.DUMMYFUNCTION("SPLIT(C465,""T""""Z"")"),44798.0)</f>
        <v>44798</v>
      </c>
      <c r="M465" s="8">
        <f>IFERROR(__xludf.DUMMYFUNCTION("""COMPUTED_VALUE"""),0.529537037037037)</f>
        <v>0.529537037</v>
      </c>
      <c r="N465" s="10">
        <f t="shared" si="2"/>
        <v>132.7088889</v>
      </c>
      <c r="O465" s="11">
        <f t="shared" si="3"/>
        <v>0.6860288535</v>
      </c>
    </row>
    <row r="466">
      <c r="A466" s="1" t="s">
        <v>1428</v>
      </c>
      <c r="B466" s="1" t="s">
        <v>1429</v>
      </c>
      <c r="C466" s="1" t="s">
        <v>1430</v>
      </c>
      <c r="D466" s="1">
        <v>0.0</v>
      </c>
      <c r="E466" s="13" t="s">
        <v>22</v>
      </c>
      <c r="F466" s="1">
        <v>222.0</v>
      </c>
      <c r="G466" s="1">
        <v>17034.0</v>
      </c>
      <c r="H466" s="1">
        <v>17034.0</v>
      </c>
      <c r="I466" s="7">
        <f>IFERROR(__xludf.DUMMYFUNCTION("SPLIT(B466,""T""""Z"")"),39953.0)</f>
        <v>39953</v>
      </c>
      <c r="J466" s="8">
        <f>IFERROR(__xludf.DUMMYFUNCTION("""COMPUTED_VALUE"""),0.8184837962962963)</f>
        <v>0.8184837963</v>
      </c>
      <c r="K466" s="9">
        <f t="shared" si="1"/>
        <v>13</v>
      </c>
      <c r="L466" s="7">
        <f>IFERROR(__xludf.DUMMYFUNCTION("SPLIT(C466,""T""""Z"")"),44798.0)</f>
        <v>44798</v>
      </c>
      <c r="M466" s="8">
        <f>IFERROR(__xludf.DUMMYFUNCTION("""COMPUTED_VALUE"""),0.3710763888888889)</f>
        <v>0.3710763889</v>
      </c>
      <c r="N466" s="12">
        <f t="shared" si="2"/>
        <v>128.9058333</v>
      </c>
      <c r="O466" s="11">
        <f t="shared" si="3"/>
        <v>1</v>
      </c>
    </row>
    <row r="467">
      <c r="A467" s="1" t="s">
        <v>1431</v>
      </c>
      <c r="B467" s="1" t="s">
        <v>1432</v>
      </c>
      <c r="C467" s="1" t="s">
        <v>1433</v>
      </c>
      <c r="D467" s="1">
        <v>23.0</v>
      </c>
      <c r="E467" s="1" t="s">
        <v>52</v>
      </c>
      <c r="F467" s="1">
        <v>206.0</v>
      </c>
      <c r="G467" s="1">
        <v>1651.0</v>
      </c>
      <c r="H467" s="1">
        <v>753.0</v>
      </c>
      <c r="I467" s="7">
        <f>IFERROR(__xludf.DUMMYFUNCTION("SPLIT(B467,""T""""Z"")"),40509.0)</f>
        <v>40509</v>
      </c>
      <c r="J467" s="8">
        <f>IFERROR(__xludf.DUMMYFUNCTION("""COMPUTED_VALUE"""),0.40402777777777776)</f>
        <v>0.4040277778</v>
      </c>
      <c r="K467" s="9">
        <f t="shared" si="1"/>
        <v>11</v>
      </c>
      <c r="L467" s="7">
        <f>IFERROR(__xludf.DUMMYFUNCTION("SPLIT(C467,""T""""Z"")"),44798.0)</f>
        <v>44798</v>
      </c>
      <c r="M467" s="8">
        <f>IFERROR(__xludf.DUMMYFUNCTION("""COMPUTED_VALUE"""),0.42659722222222224)</f>
        <v>0.4265972222</v>
      </c>
      <c r="N467" s="10">
        <f t="shared" si="2"/>
        <v>130.2383333</v>
      </c>
      <c r="O467" s="11">
        <f t="shared" si="3"/>
        <v>0.4560872199</v>
      </c>
    </row>
    <row r="468">
      <c r="A468" s="1" t="s">
        <v>1434</v>
      </c>
      <c r="B468" s="1" t="s">
        <v>1435</v>
      </c>
      <c r="C468" s="1" t="s">
        <v>1436</v>
      </c>
      <c r="D468" s="1">
        <v>0.0</v>
      </c>
      <c r="E468" s="1" t="s">
        <v>48</v>
      </c>
      <c r="F468" s="1">
        <v>112.0</v>
      </c>
      <c r="G468" s="1">
        <v>37.0</v>
      </c>
      <c r="H468" s="1">
        <v>28.0</v>
      </c>
      <c r="I468" s="7">
        <f>IFERROR(__xludf.DUMMYFUNCTION("SPLIT(B468,""T""""Z"")"),42916.0)</f>
        <v>42916</v>
      </c>
      <c r="J468" s="8">
        <f>IFERROR(__xludf.DUMMYFUNCTION("""COMPUTED_VALUE"""),0.4291087962962963)</f>
        <v>0.4291087963</v>
      </c>
      <c r="K468" s="9">
        <f t="shared" si="1"/>
        <v>5</v>
      </c>
      <c r="L468" s="7">
        <f>IFERROR(__xludf.DUMMYFUNCTION("SPLIT(C468,""T""""Z"")"),44798.0)</f>
        <v>44798</v>
      </c>
      <c r="M468" s="8">
        <f>IFERROR(__xludf.DUMMYFUNCTION("""COMPUTED_VALUE"""),0.35310185185185183)</f>
        <v>0.3531018519</v>
      </c>
      <c r="N468" s="10">
        <f t="shared" si="2"/>
        <v>128.4744444</v>
      </c>
      <c r="O468" s="11">
        <f t="shared" si="3"/>
        <v>0.7567567568</v>
      </c>
    </row>
    <row r="469">
      <c r="A469" s="1" t="s">
        <v>1437</v>
      </c>
      <c r="B469" s="1" t="s">
        <v>1438</v>
      </c>
      <c r="C469" s="1" t="s">
        <v>1439</v>
      </c>
      <c r="D469" s="1">
        <v>37.0</v>
      </c>
      <c r="E469" s="1" t="s">
        <v>95</v>
      </c>
      <c r="F469" s="1">
        <v>1228.0</v>
      </c>
      <c r="G469" s="1">
        <v>2857.0</v>
      </c>
      <c r="H469" s="1">
        <v>2729.0</v>
      </c>
      <c r="I469" s="7">
        <f>IFERROR(__xludf.DUMMYFUNCTION("SPLIT(B469,""T""""Z"")"),42433.0)</f>
        <v>42433</v>
      </c>
      <c r="J469" s="8">
        <f>IFERROR(__xludf.DUMMYFUNCTION("""COMPUTED_VALUE"""),0.433599537037037)</f>
        <v>0.433599537</v>
      </c>
      <c r="K469" s="9">
        <f t="shared" si="1"/>
        <v>6</v>
      </c>
      <c r="L469" s="7">
        <f>IFERROR(__xludf.DUMMYFUNCTION("SPLIT(C469,""T""""Z"")"),44798.0)</f>
        <v>44798</v>
      </c>
      <c r="M469" s="8">
        <f>IFERROR(__xludf.DUMMYFUNCTION("""COMPUTED_VALUE"""),0.5262731481481482)</f>
        <v>0.5262731481</v>
      </c>
      <c r="N469" s="10">
        <f t="shared" si="2"/>
        <v>132.6305556</v>
      </c>
      <c r="O469" s="11">
        <f t="shared" si="3"/>
        <v>0.9551977599</v>
      </c>
    </row>
    <row r="470">
      <c r="A470" s="1" t="s">
        <v>1440</v>
      </c>
      <c r="B470" s="1" t="s">
        <v>1441</v>
      </c>
      <c r="C470" s="1" t="s">
        <v>1442</v>
      </c>
      <c r="D470" s="1">
        <v>0.0</v>
      </c>
      <c r="E470" s="13" t="s">
        <v>22</v>
      </c>
      <c r="F470" s="1">
        <v>386.0</v>
      </c>
      <c r="G470" s="1">
        <v>122.0</v>
      </c>
      <c r="H470" s="1">
        <v>120.0</v>
      </c>
      <c r="I470" s="7">
        <f>IFERROR(__xludf.DUMMYFUNCTION("SPLIT(B470,""T""""Z"")"),41604.0)</f>
        <v>41604</v>
      </c>
      <c r="J470" s="8">
        <f>IFERROR(__xludf.DUMMYFUNCTION("""COMPUTED_VALUE"""),0.13494212962962962)</f>
        <v>0.1349421296</v>
      </c>
      <c r="K470" s="9">
        <f t="shared" si="1"/>
        <v>8</v>
      </c>
      <c r="L470" s="7">
        <f>IFERROR(__xludf.DUMMYFUNCTION("SPLIT(C470,""T""""Z"")"),44798.0)</f>
        <v>44798</v>
      </c>
      <c r="M470" s="8">
        <f>IFERROR(__xludf.DUMMYFUNCTION("""COMPUTED_VALUE"""),0.5)</f>
        <v>0.5</v>
      </c>
      <c r="N470" s="12">
        <f t="shared" si="2"/>
        <v>132</v>
      </c>
      <c r="O470" s="11">
        <f t="shared" si="3"/>
        <v>0.9836065574</v>
      </c>
    </row>
    <row r="471">
      <c r="A471" s="1" t="s">
        <v>1443</v>
      </c>
      <c r="B471" s="1" t="s">
        <v>1444</v>
      </c>
      <c r="C471" s="1" t="s">
        <v>1445</v>
      </c>
      <c r="D471" s="1">
        <v>52.0</v>
      </c>
      <c r="E471" s="1" t="s">
        <v>38</v>
      </c>
      <c r="F471" s="1">
        <v>13083.0</v>
      </c>
      <c r="G471" s="1">
        <v>5998.0</v>
      </c>
      <c r="H471" s="1">
        <v>5297.0</v>
      </c>
      <c r="I471" s="7">
        <f>IFERROR(__xludf.DUMMYFUNCTION("SPLIT(B471,""T""""Z"")"),42107.0)</f>
        <v>42107</v>
      </c>
      <c r="J471" s="8">
        <f>IFERROR(__xludf.DUMMYFUNCTION("""COMPUTED_VALUE"""),0.753449074074074)</f>
        <v>0.7534490741</v>
      </c>
      <c r="K471" s="9">
        <f t="shared" si="1"/>
        <v>7</v>
      </c>
      <c r="L471" s="7">
        <f>IFERROR(__xludf.DUMMYFUNCTION("SPLIT(C471,""T""""Z"")"),44798.0)</f>
        <v>44798</v>
      </c>
      <c r="M471" s="8">
        <f>IFERROR(__xludf.DUMMYFUNCTION("""COMPUTED_VALUE"""),0.41096064814814814)</f>
        <v>0.4109606481</v>
      </c>
      <c r="N471" s="10">
        <f t="shared" si="2"/>
        <v>129.8630556</v>
      </c>
      <c r="O471" s="11">
        <f t="shared" si="3"/>
        <v>0.8831277092</v>
      </c>
    </row>
    <row r="472">
      <c r="A472" s="1" t="s">
        <v>1446</v>
      </c>
      <c r="B472" s="1" t="s">
        <v>1447</v>
      </c>
      <c r="C472" s="1" t="s">
        <v>1448</v>
      </c>
      <c r="D472" s="1">
        <v>0.0</v>
      </c>
      <c r="E472" s="1" t="s">
        <v>986</v>
      </c>
      <c r="F472" s="1">
        <v>22.0</v>
      </c>
      <c r="G472" s="1">
        <v>38.0</v>
      </c>
      <c r="H472" s="1">
        <v>30.0</v>
      </c>
      <c r="I472" s="7">
        <f>IFERROR(__xludf.DUMMYFUNCTION("SPLIT(B472,""T""""Z"")"),43426.0)</f>
        <v>43426</v>
      </c>
      <c r="J472" s="8">
        <f>IFERROR(__xludf.DUMMYFUNCTION("""COMPUTED_VALUE"""),0.5646527777777778)</f>
        <v>0.5646527778</v>
      </c>
      <c r="K472" s="9">
        <f t="shared" si="1"/>
        <v>3</v>
      </c>
      <c r="L472" s="7">
        <f>IFERROR(__xludf.DUMMYFUNCTION("SPLIT(C472,""T""""Z"")"),44798.0)</f>
        <v>44798</v>
      </c>
      <c r="M472" s="8">
        <f>IFERROR(__xludf.DUMMYFUNCTION("""COMPUTED_VALUE"""),0.5047337962962963)</f>
        <v>0.5047337963</v>
      </c>
      <c r="N472" s="10">
        <f t="shared" si="2"/>
        <v>132.1136111</v>
      </c>
      <c r="O472" s="11">
        <f t="shared" si="3"/>
        <v>0.7894736842</v>
      </c>
    </row>
    <row r="473">
      <c r="A473" s="1" t="s">
        <v>1449</v>
      </c>
      <c r="B473" s="1" t="s">
        <v>1450</v>
      </c>
      <c r="C473" s="1" t="s">
        <v>459</v>
      </c>
      <c r="D473" s="1">
        <v>39.0</v>
      </c>
      <c r="E473" s="1" t="s">
        <v>124</v>
      </c>
      <c r="F473" s="1">
        <v>474.0</v>
      </c>
      <c r="G473" s="1">
        <v>713.0</v>
      </c>
      <c r="H473" s="1">
        <v>641.0</v>
      </c>
      <c r="I473" s="7">
        <f>IFERROR(__xludf.DUMMYFUNCTION("SPLIT(B473,""T""""Z"")"),43467.0)</f>
        <v>43467</v>
      </c>
      <c r="J473" s="8">
        <f>IFERROR(__xludf.DUMMYFUNCTION("""COMPUTED_VALUE"""),0.8289699074074074)</f>
        <v>0.8289699074</v>
      </c>
      <c r="K473" s="9">
        <f t="shared" si="1"/>
        <v>3</v>
      </c>
      <c r="L473" s="7">
        <f>IFERROR(__xludf.DUMMYFUNCTION("SPLIT(C473,""T""""Z"")"),44798.0)</f>
        <v>44798</v>
      </c>
      <c r="M473" s="8">
        <f>IFERROR(__xludf.DUMMYFUNCTION("""COMPUTED_VALUE"""),0.6021180555555555)</f>
        <v>0.6021180556</v>
      </c>
      <c r="N473" s="10">
        <f t="shared" si="2"/>
        <v>134.4508333</v>
      </c>
      <c r="O473" s="11">
        <f t="shared" si="3"/>
        <v>0.8990182328</v>
      </c>
    </row>
    <row r="474">
      <c r="A474" s="1" t="s">
        <v>1451</v>
      </c>
      <c r="B474" s="1" t="s">
        <v>1452</v>
      </c>
      <c r="C474" s="1" t="s">
        <v>1453</v>
      </c>
      <c r="D474" s="1">
        <v>176.0</v>
      </c>
      <c r="E474" s="1" t="s">
        <v>124</v>
      </c>
      <c r="F474" s="1">
        <v>2363.0</v>
      </c>
      <c r="G474" s="1">
        <v>6403.0</v>
      </c>
      <c r="H474" s="1">
        <v>6036.0</v>
      </c>
      <c r="I474" s="7">
        <f>IFERROR(__xludf.DUMMYFUNCTION("SPLIT(B474,""T""""Z"")"),41617.0)</f>
        <v>41617</v>
      </c>
      <c r="J474" s="8">
        <f>IFERROR(__xludf.DUMMYFUNCTION("""COMPUTED_VALUE"""),0.4867824074074074)</f>
        <v>0.4867824074</v>
      </c>
      <c r="K474" s="9">
        <f t="shared" si="1"/>
        <v>8</v>
      </c>
      <c r="L474" s="7">
        <f>IFERROR(__xludf.DUMMYFUNCTION("SPLIT(C474,""T""""Z"")"),44798.0)</f>
        <v>44798</v>
      </c>
      <c r="M474" s="8">
        <f>IFERROR(__xludf.DUMMYFUNCTION("""COMPUTED_VALUE"""),0.5928819444444444)</f>
        <v>0.5928819444</v>
      </c>
      <c r="N474" s="10">
        <f t="shared" si="2"/>
        <v>134.2291667</v>
      </c>
      <c r="O474" s="11">
        <f t="shared" si="3"/>
        <v>0.9426831173</v>
      </c>
    </row>
    <row r="475">
      <c r="A475" s="1" t="s">
        <v>1454</v>
      </c>
      <c r="B475" s="1" t="s">
        <v>1455</v>
      </c>
      <c r="C475" s="1" t="s">
        <v>1456</v>
      </c>
      <c r="D475" s="1">
        <v>0.0</v>
      </c>
      <c r="E475" s="1" t="s">
        <v>48</v>
      </c>
      <c r="F475" s="1">
        <v>66.0</v>
      </c>
      <c r="G475" s="1">
        <v>58.0</v>
      </c>
      <c r="H475" s="1">
        <v>40.0</v>
      </c>
      <c r="I475" s="7">
        <f>IFERROR(__xludf.DUMMYFUNCTION("SPLIT(B475,""T""""Z"")"),43822.0)</f>
        <v>43822</v>
      </c>
      <c r="J475" s="8">
        <f>IFERROR(__xludf.DUMMYFUNCTION("""COMPUTED_VALUE"""),0.5886574074074075)</f>
        <v>0.5886574074</v>
      </c>
      <c r="K475" s="9">
        <f t="shared" si="1"/>
        <v>2</v>
      </c>
      <c r="L475" s="7">
        <f>IFERROR(__xludf.DUMMYFUNCTION("SPLIT(C475,""T""""Z"")"),44798.0)</f>
        <v>44798</v>
      </c>
      <c r="M475" s="8">
        <f>IFERROR(__xludf.DUMMYFUNCTION("""COMPUTED_VALUE"""),0.6047916666666666)</f>
        <v>0.6047916667</v>
      </c>
      <c r="N475" s="10">
        <f t="shared" si="2"/>
        <v>134.515</v>
      </c>
      <c r="O475" s="11">
        <f t="shared" si="3"/>
        <v>0.6896551724</v>
      </c>
    </row>
    <row r="476">
      <c r="A476" s="1" t="s">
        <v>1457</v>
      </c>
      <c r="B476" s="1" t="s">
        <v>1458</v>
      </c>
      <c r="C476" s="1" t="s">
        <v>1459</v>
      </c>
      <c r="D476" s="1">
        <v>166.0</v>
      </c>
      <c r="E476" s="1" t="s">
        <v>228</v>
      </c>
      <c r="F476" s="1">
        <v>2543.0</v>
      </c>
      <c r="G476" s="1">
        <v>7156.0</v>
      </c>
      <c r="H476" s="1">
        <v>7054.0</v>
      </c>
      <c r="I476" s="7">
        <f>IFERROR(__xludf.DUMMYFUNCTION("SPLIT(B476,""T""""Z"")"),40702.0)</f>
        <v>40702</v>
      </c>
      <c r="J476" s="8">
        <f>IFERROR(__xludf.DUMMYFUNCTION("""COMPUTED_VALUE"""),0.3701388888888889)</f>
        <v>0.3701388889</v>
      </c>
      <c r="K476" s="9">
        <f t="shared" si="1"/>
        <v>11</v>
      </c>
      <c r="L476" s="7">
        <f>IFERROR(__xludf.DUMMYFUNCTION("SPLIT(C476,""T""""Z"")"),44798.0)</f>
        <v>44798</v>
      </c>
      <c r="M476" s="8">
        <f>IFERROR(__xludf.DUMMYFUNCTION("""COMPUTED_VALUE"""),0.4760300925925926)</f>
        <v>0.4760300926</v>
      </c>
      <c r="N476" s="10">
        <f t="shared" si="2"/>
        <v>131.4247222</v>
      </c>
      <c r="O476" s="11">
        <f t="shared" si="3"/>
        <v>0.9857462269</v>
      </c>
    </row>
    <row r="477">
      <c r="A477" s="1" t="s">
        <v>1460</v>
      </c>
      <c r="B477" s="1" t="s">
        <v>1461</v>
      </c>
      <c r="C477" s="1" t="s">
        <v>1462</v>
      </c>
      <c r="D477" s="1">
        <v>0.0</v>
      </c>
      <c r="E477" s="1" t="s">
        <v>38</v>
      </c>
      <c r="F477" s="1">
        <v>569.0</v>
      </c>
      <c r="G477" s="1">
        <v>175.0</v>
      </c>
      <c r="H477" s="1">
        <v>152.0</v>
      </c>
      <c r="I477" s="7">
        <f>IFERROR(__xludf.DUMMYFUNCTION("SPLIT(B477,""T""""Z"")"),42007.0)</f>
        <v>42007</v>
      </c>
      <c r="J477" s="8">
        <f>IFERROR(__xludf.DUMMYFUNCTION("""COMPUTED_VALUE"""),0.7812152777777778)</f>
        <v>0.7812152778</v>
      </c>
      <c r="K477" s="9">
        <f t="shared" si="1"/>
        <v>7</v>
      </c>
      <c r="L477" s="7">
        <f>IFERROR(__xludf.DUMMYFUNCTION("SPLIT(C477,""T""""Z"")"),44798.0)</f>
        <v>44798</v>
      </c>
      <c r="M477" s="8">
        <f>IFERROR(__xludf.DUMMYFUNCTION("""COMPUTED_VALUE"""),0.43927083333333333)</f>
        <v>0.4392708333</v>
      </c>
      <c r="N477" s="10">
        <f t="shared" si="2"/>
        <v>130.5425</v>
      </c>
      <c r="O477" s="11">
        <f t="shared" si="3"/>
        <v>0.8685714286</v>
      </c>
    </row>
    <row r="478">
      <c r="A478" s="1" t="s">
        <v>1463</v>
      </c>
      <c r="B478" s="1" t="s">
        <v>1464</v>
      </c>
      <c r="C478" s="1" t="s">
        <v>1465</v>
      </c>
      <c r="D478" s="1">
        <v>0.0</v>
      </c>
      <c r="E478" s="1" t="s">
        <v>686</v>
      </c>
      <c r="F478" s="1">
        <v>608.0</v>
      </c>
      <c r="G478" s="1">
        <v>210.0</v>
      </c>
      <c r="H478" s="1">
        <v>181.0</v>
      </c>
      <c r="I478" s="7">
        <f>IFERROR(__xludf.DUMMYFUNCTION("SPLIT(B478,""T""""Z"")"),42395.0)</f>
        <v>42395</v>
      </c>
      <c r="J478" s="8">
        <f>IFERROR(__xludf.DUMMYFUNCTION("""COMPUTED_VALUE"""),0.7473611111111111)</f>
        <v>0.7473611111</v>
      </c>
      <c r="K478" s="9">
        <f t="shared" si="1"/>
        <v>6</v>
      </c>
      <c r="L478" s="7">
        <f>IFERROR(__xludf.DUMMYFUNCTION("SPLIT(C478,""T""""Z"")"),44798.0)</f>
        <v>44798</v>
      </c>
      <c r="M478" s="8">
        <f>IFERROR(__xludf.DUMMYFUNCTION("""COMPUTED_VALUE"""),0.29)</f>
        <v>0.29</v>
      </c>
      <c r="N478" s="10">
        <f t="shared" si="2"/>
        <v>126.96</v>
      </c>
      <c r="O478" s="11">
        <f t="shared" si="3"/>
        <v>0.8619047619</v>
      </c>
    </row>
    <row r="479">
      <c r="A479" s="1" t="s">
        <v>1466</v>
      </c>
      <c r="B479" s="1" t="s">
        <v>1467</v>
      </c>
      <c r="C479" s="1" t="s">
        <v>1468</v>
      </c>
      <c r="D479" s="1">
        <v>0.0</v>
      </c>
      <c r="E479" s="1" t="s">
        <v>95</v>
      </c>
      <c r="F479" s="1">
        <v>69.0</v>
      </c>
      <c r="G479" s="1">
        <v>89.0</v>
      </c>
      <c r="H479" s="1">
        <v>59.0</v>
      </c>
      <c r="I479" s="7">
        <f>IFERROR(__xludf.DUMMYFUNCTION("SPLIT(B479,""T""""Z"")"),43086.0)</f>
        <v>43086</v>
      </c>
      <c r="J479" s="8">
        <f>IFERROR(__xludf.DUMMYFUNCTION("""COMPUTED_VALUE"""),0.37974537037037037)</f>
        <v>0.3797453704</v>
      </c>
      <c r="K479" s="9">
        <f t="shared" si="1"/>
        <v>4</v>
      </c>
      <c r="L479" s="7">
        <f>IFERROR(__xludf.DUMMYFUNCTION("SPLIT(C479,""T""""Z"")"),44798.0)</f>
        <v>44798</v>
      </c>
      <c r="M479" s="8">
        <f>IFERROR(__xludf.DUMMYFUNCTION("""COMPUTED_VALUE"""),0.5381712962962963)</f>
        <v>0.5381712963</v>
      </c>
      <c r="N479" s="10">
        <f t="shared" si="2"/>
        <v>132.9161111</v>
      </c>
      <c r="O479" s="11">
        <f t="shared" si="3"/>
        <v>0.6629213483</v>
      </c>
    </row>
    <row r="480">
      <c r="A480" s="1" t="s">
        <v>1469</v>
      </c>
      <c r="B480" s="1" t="s">
        <v>1470</v>
      </c>
      <c r="C480" s="1" t="s">
        <v>1471</v>
      </c>
      <c r="D480" s="1">
        <v>74.0</v>
      </c>
      <c r="E480" s="1" t="s">
        <v>48</v>
      </c>
      <c r="F480" s="1">
        <v>585.0</v>
      </c>
      <c r="G480" s="1">
        <v>1525.0</v>
      </c>
      <c r="H480" s="1">
        <v>1417.0</v>
      </c>
      <c r="I480" s="7">
        <f>IFERROR(__xludf.DUMMYFUNCTION("SPLIT(B480,""T""""Z"")"),41562.0)</f>
        <v>41562</v>
      </c>
      <c r="J480" s="8">
        <f>IFERROR(__xludf.DUMMYFUNCTION("""COMPUTED_VALUE"""),0.3449074074074074)</f>
        <v>0.3449074074</v>
      </c>
      <c r="K480" s="9">
        <f t="shared" si="1"/>
        <v>8</v>
      </c>
      <c r="L480" s="7">
        <f>IFERROR(__xludf.DUMMYFUNCTION("SPLIT(C480,""T""""Z"")"),44798.0)</f>
        <v>44798</v>
      </c>
      <c r="M480" s="8">
        <f>IFERROR(__xludf.DUMMYFUNCTION("""COMPUTED_VALUE"""),0.46019675925925924)</f>
        <v>0.4601967593</v>
      </c>
      <c r="N480" s="10">
        <f t="shared" si="2"/>
        <v>131.0447222</v>
      </c>
      <c r="O480" s="11">
        <f t="shared" si="3"/>
        <v>0.9291803279</v>
      </c>
    </row>
    <row r="481">
      <c r="A481" s="1" t="s">
        <v>1472</v>
      </c>
      <c r="B481" s="1" t="s">
        <v>1473</v>
      </c>
      <c r="C481" s="1" t="s">
        <v>1474</v>
      </c>
      <c r="D481" s="1">
        <v>56.0</v>
      </c>
      <c r="E481" s="1" t="s">
        <v>38</v>
      </c>
      <c r="F481" s="1">
        <v>71.0</v>
      </c>
      <c r="G481" s="1">
        <v>1344.0</v>
      </c>
      <c r="H481" s="1">
        <v>1341.0</v>
      </c>
      <c r="I481" s="7">
        <f>IFERROR(__xludf.DUMMYFUNCTION("SPLIT(B481,""T""""Z"")"),41921.0)</f>
        <v>41921</v>
      </c>
      <c r="J481" s="8">
        <f>IFERROR(__xludf.DUMMYFUNCTION("""COMPUTED_VALUE"""),0.2751851851851852)</f>
        <v>0.2751851852</v>
      </c>
      <c r="K481" s="9">
        <f t="shared" si="1"/>
        <v>7</v>
      </c>
      <c r="L481" s="7">
        <f>IFERROR(__xludf.DUMMYFUNCTION("SPLIT(C481,""T""""Z"")"),44798.0)</f>
        <v>44798</v>
      </c>
      <c r="M481" s="8">
        <f>IFERROR(__xludf.DUMMYFUNCTION("""COMPUTED_VALUE"""),0.5975462962962963)</f>
        <v>0.5975462963</v>
      </c>
      <c r="N481" s="10">
        <f t="shared" si="2"/>
        <v>134.3411111</v>
      </c>
      <c r="O481" s="11">
        <f t="shared" si="3"/>
        <v>0.9977678571</v>
      </c>
    </row>
    <row r="482">
      <c r="A482" s="1" t="s">
        <v>1475</v>
      </c>
      <c r="B482" s="1" t="s">
        <v>1476</v>
      </c>
      <c r="C482" s="1" t="s">
        <v>1477</v>
      </c>
      <c r="D482" s="1">
        <v>412.0</v>
      </c>
      <c r="E482" s="1" t="s">
        <v>48</v>
      </c>
      <c r="F482" s="1">
        <v>3426.0</v>
      </c>
      <c r="G482" s="1">
        <v>9811.0</v>
      </c>
      <c r="H482" s="1">
        <v>9033.0</v>
      </c>
      <c r="I482" s="7">
        <f>IFERROR(__xludf.DUMMYFUNCTION("SPLIT(B482,""T""""Z"")"),40381.0)</f>
        <v>40381</v>
      </c>
      <c r="J482" s="8">
        <f>IFERROR(__xludf.DUMMYFUNCTION("""COMPUTED_VALUE"""),0.29943287037037036)</f>
        <v>0.2994328704</v>
      </c>
      <c r="K482" s="9">
        <f t="shared" si="1"/>
        <v>12</v>
      </c>
      <c r="L482" s="7">
        <f>IFERROR(__xludf.DUMMYFUNCTION("SPLIT(C482,""T""""Z"")"),44798.0)</f>
        <v>44798</v>
      </c>
      <c r="M482" s="8">
        <f>IFERROR(__xludf.DUMMYFUNCTION("""COMPUTED_VALUE"""),0.5990740740740741)</f>
        <v>0.5990740741</v>
      </c>
      <c r="N482" s="10">
        <f t="shared" si="2"/>
        <v>134.3777778</v>
      </c>
      <c r="O482" s="11">
        <f t="shared" si="3"/>
        <v>0.9207012537</v>
      </c>
    </row>
    <row r="483">
      <c r="A483" s="1" t="s">
        <v>1478</v>
      </c>
      <c r="B483" s="1" t="s">
        <v>1479</v>
      </c>
      <c r="C483" s="1" t="s">
        <v>1480</v>
      </c>
      <c r="D483" s="1">
        <v>228.0</v>
      </c>
      <c r="E483" s="1" t="s">
        <v>18</v>
      </c>
      <c r="F483" s="1">
        <v>682.0</v>
      </c>
      <c r="G483" s="1">
        <v>884.0</v>
      </c>
      <c r="H483" s="1">
        <v>872.0</v>
      </c>
      <c r="I483" s="7">
        <f>IFERROR(__xludf.DUMMYFUNCTION("SPLIT(B483,""T""""Z"")"),41541.0)</f>
        <v>41541</v>
      </c>
      <c r="J483" s="8">
        <f>IFERROR(__xludf.DUMMYFUNCTION("""COMPUTED_VALUE"""),0.9630555555555556)</f>
        <v>0.9630555556</v>
      </c>
      <c r="K483" s="9">
        <f t="shared" si="1"/>
        <v>8</v>
      </c>
      <c r="L483" s="7">
        <f>IFERROR(__xludf.DUMMYFUNCTION("SPLIT(C483,""T""""Z"")"),44798.0)</f>
        <v>44798</v>
      </c>
      <c r="M483" s="8">
        <f>IFERROR(__xludf.DUMMYFUNCTION("""COMPUTED_VALUE"""),0.37287037037037035)</f>
        <v>0.3728703704</v>
      </c>
      <c r="N483" s="10">
        <f t="shared" si="2"/>
        <v>128.9488889</v>
      </c>
      <c r="O483" s="11">
        <f t="shared" si="3"/>
        <v>0.9864253394</v>
      </c>
    </row>
    <row r="484">
      <c r="A484" s="1" t="s">
        <v>1481</v>
      </c>
      <c r="B484" s="1" t="s">
        <v>1482</v>
      </c>
      <c r="C484" s="1" t="s">
        <v>1483</v>
      </c>
      <c r="D484" s="1">
        <v>45.0</v>
      </c>
      <c r="E484" s="1" t="s">
        <v>18</v>
      </c>
      <c r="F484" s="1">
        <v>186.0</v>
      </c>
      <c r="G484" s="1">
        <v>2394.0</v>
      </c>
      <c r="H484" s="1">
        <v>1629.0</v>
      </c>
      <c r="I484" s="7">
        <f>IFERROR(__xludf.DUMMYFUNCTION("SPLIT(B484,""T""""Z"")"),40740.0)</f>
        <v>40740</v>
      </c>
      <c r="J484" s="8">
        <f>IFERROR(__xludf.DUMMYFUNCTION("""COMPUTED_VALUE"""),0.04581018518518518)</f>
        <v>0.04581018519</v>
      </c>
      <c r="K484" s="9">
        <f t="shared" si="1"/>
        <v>11</v>
      </c>
      <c r="L484" s="7">
        <f>IFERROR(__xludf.DUMMYFUNCTION("SPLIT(C484,""T""""Z"")"),44798.0)</f>
        <v>44798</v>
      </c>
      <c r="M484" s="8">
        <f>IFERROR(__xludf.DUMMYFUNCTION("""COMPUTED_VALUE"""),0.45815972222222223)</f>
        <v>0.4581597222</v>
      </c>
      <c r="N484" s="10">
        <f t="shared" si="2"/>
        <v>130.9958333</v>
      </c>
      <c r="O484" s="11">
        <f t="shared" si="3"/>
        <v>0.6804511278</v>
      </c>
    </row>
    <row r="485">
      <c r="A485" s="1" t="s">
        <v>1484</v>
      </c>
      <c r="B485" s="1" t="s">
        <v>1485</v>
      </c>
      <c r="C485" s="1" t="s">
        <v>1486</v>
      </c>
      <c r="D485" s="1">
        <v>12.0</v>
      </c>
      <c r="E485" s="1" t="s">
        <v>228</v>
      </c>
      <c r="F485" s="1">
        <v>824.0</v>
      </c>
      <c r="G485" s="1">
        <v>570.0</v>
      </c>
      <c r="H485" s="1">
        <v>494.0</v>
      </c>
      <c r="I485" s="7">
        <f>IFERROR(__xludf.DUMMYFUNCTION("SPLIT(B485,""T""""Z"")"),40830.0)</f>
        <v>40830</v>
      </c>
      <c r="J485" s="8">
        <f>IFERROR(__xludf.DUMMYFUNCTION("""COMPUTED_VALUE"""),0.9507175925925926)</f>
        <v>0.9507175926</v>
      </c>
      <c r="K485" s="9">
        <f t="shared" si="1"/>
        <v>10</v>
      </c>
      <c r="L485" s="7">
        <f>IFERROR(__xludf.DUMMYFUNCTION("SPLIT(C485,""T""""Z"")"),44798.0)</f>
        <v>44798</v>
      </c>
      <c r="M485" s="8">
        <f>IFERROR(__xludf.DUMMYFUNCTION("""COMPUTED_VALUE"""),0.11216435185185185)</f>
        <v>0.1121643519</v>
      </c>
      <c r="N485" s="10">
        <f t="shared" si="2"/>
        <v>122.6919444</v>
      </c>
      <c r="O485" s="11">
        <f t="shared" si="3"/>
        <v>0.8666666667</v>
      </c>
    </row>
    <row r="486">
      <c r="A486" s="1" t="s">
        <v>1487</v>
      </c>
      <c r="B486" s="1" t="s">
        <v>1488</v>
      </c>
      <c r="C486" s="1" t="s">
        <v>1489</v>
      </c>
      <c r="D486" s="1">
        <v>0.0</v>
      </c>
      <c r="E486" s="1" t="s">
        <v>48</v>
      </c>
      <c r="F486" s="1">
        <v>736.0</v>
      </c>
      <c r="G486" s="1">
        <v>1404.0</v>
      </c>
      <c r="H486" s="1">
        <v>1375.0</v>
      </c>
      <c r="I486" s="7">
        <f>IFERROR(__xludf.DUMMYFUNCTION("SPLIT(B486,""T""""Z"")"),40111.0)</f>
        <v>40111</v>
      </c>
      <c r="J486" s="8">
        <f>IFERROR(__xludf.DUMMYFUNCTION("""COMPUTED_VALUE"""),0.7715972222222223)</f>
        <v>0.7715972222</v>
      </c>
      <c r="K486" s="9">
        <f t="shared" si="1"/>
        <v>12</v>
      </c>
      <c r="L486" s="7">
        <f>IFERROR(__xludf.DUMMYFUNCTION("SPLIT(C486,""T""""Z"")"),44797.0)</f>
        <v>44797</v>
      </c>
      <c r="M486" s="8">
        <f>IFERROR(__xludf.DUMMYFUNCTION("""COMPUTED_VALUE"""),0.3113773148148148)</f>
        <v>0.3113773148</v>
      </c>
      <c r="N486" s="10">
        <f t="shared" si="2"/>
        <v>151.4730556</v>
      </c>
      <c r="O486" s="11">
        <f t="shared" si="3"/>
        <v>0.9793447293</v>
      </c>
    </row>
    <row r="487">
      <c r="A487" s="1" t="s">
        <v>1490</v>
      </c>
      <c r="B487" s="1" t="s">
        <v>1491</v>
      </c>
      <c r="C487" s="1" t="s">
        <v>1492</v>
      </c>
      <c r="D487" s="1">
        <v>2.0</v>
      </c>
      <c r="E487" s="1" t="s">
        <v>599</v>
      </c>
      <c r="F487" s="1">
        <v>2.0</v>
      </c>
      <c r="G487" s="1">
        <v>652.0</v>
      </c>
      <c r="H487" s="1">
        <v>393.0</v>
      </c>
      <c r="I487" s="7">
        <f>IFERROR(__xludf.DUMMYFUNCTION("SPLIT(B487,""T""""Z"")"),42018.0)</f>
        <v>42018</v>
      </c>
      <c r="J487" s="8">
        <f>IFERROR(__xludf.DUMMYFUNCTION("""COMPUTED_VALUE"""),0.023900462962962964)</f>
        <v>0.02390046296</v>
      </c>
      <c r="K487" s="9">
        <f t="shared" si="1"/>
        <v>7</v>
      </c>
      <c r="L487" s="7">
        <f>IFERROR(__xludf.DUMMYFUNCTION("SPLIT(C487,""T""""Z"")"),44798.0)</f>
        <v>44798</v>
      </c>
      <c r="M487" s="8">
        <f>IFERROR(__xludf.DUMMYFUNCTION("""COMPUTED_VALUE"""),0.5955208333333334)</f>
        <v>0.5955208333</v>
      </c>
      <c r="N487" s="10">
        <f t="shared" si="2"/>
        <v>134.2925</v>
      </c>
      <c r="O487" s="11">
        <f t="shared" si="3"/>
        <v>0.6027607362</v>
      </c>
    </row>
    <row r="488">
      <c r="A488" s="1" t="s">
        <v>1493</v>
      </c>
      <c r="B488" s="1" t="s">
        <v>1494</v>
      </c>
      <c r="C488" s="1" t="s">
        <v>1495</v>
      </c>
      <c r="D488" s="1">
        <v>0.0</v>
      </c>
      <c r="E488" s="1" t="s">
        <v>52</v>
      </c>
      <c r="F488" s="1">
        <v>1224.0</v>
      </c>
      <c r="G488" s="1">
        <v>415.0</v>
      </c>
      <c r="H488" s="1">
        <v>266.0</v>
      </c>
      <c r="I488" s="7">
        <f>IFERROR(__xludf.DUMMYFUNCTION("SPLIT(B488,""T""""Z"")"),43948.0)</f>
        <v>43948</v>
      </c>
      <c r="J488" s="8">
        <f>IFERROR(__xludf.DUMMYFUNCTION("""COMPUTED_VALUE"""),0.9064351851851852)</f>
        <v>0.9064351852</v>
      </c>
      <c r="K488" s="9">
        <f t="shared" si="1"/>
        <v>2</v>
      </c>
      <c r="L488" s="7">
        <f>IFERROR(__xludf.DUMMYFUNCTION("SPLIT(C488,""T""""Z"")"),44798.0)</f>
        <v>44798</v>
      </c>
      <c r="M488" s="8">
        <f>IFERROR(__xludf.DUMMYFUNCTION("""COMPUTED_VALUE"""),0.5858449074074074)</f>
        <v>0.5858449074</v>
      </c>
      <c r="N488" s="10">
        <f t="shared" si="2"/>
        <v>134.0602778</v>
      </c>
      <c r="O488" s="11">
        <f t="shared" si="3"/>
        <v>0.6409638554</v>
      </c>
    </row>
    <row r="489">
      <c r="A489" s="1" t="s">
        <v>1496</v>
      </c>
      <c r="B489" s="1" t="s">
        <v>1497</v>
      </c>
      <c r="C489" s="1" t="s">
        <v>1498</v>
      </c>
      <c r="D489" s="1">
        <v>34.0</v>
      </c>
      <c r="E489" s="1" t="s">
        <v>347</v>
      </c>
      <c r="F489" s="1">
        <v>184.0</v>
      </c>
      <c r="G489" s="1">
        <v>654.0</v>
      </c>
      <c r="H489" s="1">
        <v>613.0</v>
      </c>
      <c r="I489" s="7">
        <f>IFERROR(__xludf.DUMMYFUNCTION("SPLIT(B489,""T""""Z"")"),41991.0)</f>
        <v>41991</v>
      </c>
      <c r="J489" s="8">
        <f>IFERROR(__xludf.DUMMYFUNCTION("""COMPUTED_VALUE"""),0.17354166666666668)</f>
        <v>0.1735416667</v>
      </c>
      <c r="K489" s="9">
        <f t="shared" si="1"/>
        <v>7</v>
      </c>
      <c r="L489" s="7">
        <f>IFERROR(__xludf.DUMMYFUNCTION("SPLIT(C489,""T""""Z"")"),44798.0)</f>
        <v>44798</v>
      </c>
      <c r="M489" s="8">
        <f>IFERROR(__xludf.DUMMYFUNCTION("""COMPUTED_VALUE"""),0.5165393518518518)</f>
        <v>0.5165393519</v>
      </c>
      <c r="N489" s="10">
        <f t="shared" si="2"/>
        <v>132.3969444</v>
      </c>
      <c r="O489" s="11">
        <f t="shared" si="3"/>
        <v>0.9373088685</v>
      </c>
    </row>
    <row r="490">
      <c r="A490" s="1" t="s">
        <v>1499</v>
      </c>
      <c r="B490" s="1" t="s">
        <v>1500</v>
      </c>
      <c r="C490" s="1" t="s">
        <v>1501</v>
      </c>
      <c r="D490" s="1">
        <v>0.0</v>
      </c>
      <c r="E490" s="1" t="s">
        <v>206</v>
      </c>
      <c r="F490" s="1">
        <v>6.0</v>
      </c>
      <c r="G490" s="1">
        <v>0.0</v>
      </c>
      <c r="H490" s="1">
        <v>0.0</v>
      </c>
      <c r="I490" s="7">
        <f>IFERROR(__xludf.DUMMYFUNCTION("SPLIT(B490,""T""""Z"")"),43155.0)</f>
        <v>43155</v>
      </c>
      <c r="J490" s="8">
        <f>IFERROR(__xludf.DUMMYFUNCTION("""COMPUTED_VALUE"""),0.079375)</f>
        <v>0.079375</v>
      </c>
      <c r="K490" s="9">
        <f t="shared" si="1"/>
        <v>4</v>
      </c>
      <c r="L490" s="7">
        <f>IFERROR(__xludf.DUMMYFUNCTION("SPLIT(C490,""T""""Z"")"),44798.0)</f>
        <v>44798</v>
      </c>
      <c r="M490" s="8">
        <f>IFERROR(__xludf.DUMMYFUNCTION("""COMPUTED_VALUE"""),0.09278935185185185)</f>
        <v>0.09278935185</v>
      </c>
      <c r="N490" s="10">
        <f t="shared" si="2"/>
        <v>122.2269444</v>
      </c>
      <c r="O490" s="11">
        <f t="shared" si="3"/>
        <v>0</v>
      </c>
    </row>
    <row r="491">
      <c r="A491" s="1" t="s">
        <v>1502</v>
      </c>
      <c r="B491" s="1" t="s">
        <v>1503</v>
      </c>
      <c r="C491" s="1" t="s">
        <v>1504</v>
      </c>
      <c r="D491" s="1">
        <v>0.0</v>
      </c>
      <c r="E491" s="1" t="s">
        <v>95</v>
      </c>
      <c r="F491" s="1">
        <v>15.0</v>
      </c>
      <c r="G491" s="1">
        <v>144.0</v>
      </c>
      <c r="H491" s="1">
        <v>71.0</v>
      </c>
      <c r="I491" s="7">
        <f>IFERROR(__xludf.DUMMYFUNCTION("SPLIT(B491,""T""""Z"")"),43049.0)</f>
        <v>43049</v>
      </c>
      <c r="J491" s="8">
        <f>IFERROR(__xludf.DUMMYFUNCTION("""COMPUTED_VALUE"""),0.26908564814814817)</f>
        <v>0.2690856481</v>
      </c>
      <c r="K491" s="9">
        <f t="shared" si="1"/>
        <v>4</v>
      </c>
      <c r="L491" s="7">
        <f>IFERROR(__xludf.DUMMYFUNCTION("SPLIT(C491,""T""""Z"")"),44798.0)</f>
        <v>44798</v>
      </c>
      <c r="M491" s="8">
        <f>IFERROR(__xludf.DUMMYFUNCTION("""COMPUTED_VALUE"""),0.602037037037037)</f>
        <v>0.602037037</v>
      </c>
      <c r="N491" s="10">
        <f t="shared" si="2"/>
        <v>134.4488889</v>
      </c>
      <c r="O491" s="11">
        <f t="shared" si="3"/>
        <v>0.4930555556</v>
      </c>
    </row>
    <row r="492">
      <c r="A492" s="1" t="s">
        <v>1505</v>
      </c>
      <c r="B492" s="1" t="s">
        <v>1506</v>
      </c>
      <c r="C492" s="1" t="s">
        <v>1507</v>
      </c>
      <c r="D492" s="1">
        <v>60.0</v>
      </c>
      <c r="E492" s="1" t="s">
        <v>48</v>
      </c>
      <c r="F492" s="1">
        <v>111.0</v>
      </c>
      <c r="G492" s="1">
        <v>588.0</v>
      </c>
      <c r="H492" s="1">
        <v>580.0</v>
      </c>
      <c r="I492" s="7">
        <f>IFERROR(__xludf.DUMMYFUNCTION("SPLIT(B492,""T""""Z"")"),42269.0)</f>
        <v>42269</v>
      </c>
      <c r="J492" s="8">
        <f>IFERROR(__xludf.DUMMYFUNCTION("""COMPUTED_VALUE"""),0.3417013888888889)</f>
        <v>0.3417013889</v>
      </c>
      <c r="K492" s="9">
        <f t="shared" si="1"/>
        <v>6</v>
      </c>
      <c r="L492" s="7">
        <f>IFERROR(__xludf.DUMMYFUNCTION("SPLIT(C492,""T""""Z"")"),44798.0)</f>
        <v>44798</v>
      </c>
      <c r="M492" s="8">
        <f>IFERROR(__xludf.DUMMYFUNCTION("""COMPUTED_VALUE"""),0.5266550925925926)</f>
        <v>0.5266550926</v>
      </c>
      <c r="N492" s="10">
        <f t="shared" si="2"/>
        <v>132.6397222</v>
      </c>
      <c r="O492" s="11">
        <f t="shared" si="3"/>
        <v>0.9863945578</v>
      </c>
    </row>
    <row r="493">
      <c r="A493" s="1" t="s">
        <v>1508</v>
      </c>
      <c r="B493" s="1" t="s">
        <v>1509</v>
      </c>
      <c r="C493" s="1" t="s">
        <v>1510</v>
      </c>
      <c r="D493" s="1">
        <v>4.0</v>
      </c>
      <c r="E493" s="1" t="s">
        <v>124</v>
      </c>
      <c r="F493" s="1">
        <v>168.0</v>
      </c>
      <c r="G493" s="1">
        <v>62.0</v>
      </c>
      <c r="H493" s="1">
        <v>53.0</v>
      </c>
      <c r="I493" s="7">
        <f>IFERROR(__xludf.DUMMYFUNCTION("SPLIT(B493,""T""""Z"")"),42934.0)</f>
        <v>42934</v>
      </c>
      <c r="J493" s="8">
        <f>IFERROR(__xludf.DUMMYFUNCTION("""COMPUTED_VALUE"""),0.0043287037037037035)</f>
        <v>0.004328703704</v>
      </c>
      <c r="K493" s="9">
        <f t="shared" si="1"/>
        <v>5</v>
      </c>
      <c r="L493" s="7">
        <f>IFERROR(__xludf.DUMMYFUNCTION("SPLIT(C493,""T""""Z"")"),44798.0)</f>
        <v>44798</v>
      </c>
      <c r="M493" s="8">
        <f>IFERROR(__xludf.DUMMYFUNCTION("""COMPUTED_VALUE"""),0.5821296296296297)</f>
        <v>0.5821296296</v>
      </c>
      <c r="N493" s="10">
        <f t="shared" si="2"/>
        <v>133.9711111</v>
      </c>
      <c r="O493" s="11">
        <f t="shared" si="3"/>
        <v>0.8548387097</v>
      </c>
    </row>
    <row r="494">
      <c r="A494" s="1" t="s">
        <v>1511</v>
      </c>
      <c r="B494" s="1" t="s">
        <v>1512</v>
      </c>
      <c r="C494" s="1" t="s">
        <v>1513</v>
      </c>
      <c r="D494" s="1">
        <v>60.0</v>
      </c>
      <c r="E494" s="1" t="s">
        <v>88</v>
      </c>
      <c r="F494" s="1">
        <v>153.0</v>
      </c>
      <c r="G494" s="1">
        <v>3436.0</v>
      </c>
      <c r="H494" s="1">
        <v>3397.0</v>
      </c>
      <c r="I494" s="7">
        <f>IFERROR(__xludf.DUMMYFUNCTION("SPLIT(B494,""T""""Z"")"),40255.0)</f>
        <v>40255</v>
      </c>
      <c r="J494" s="8">
        <f>IFERROR(__xludf.DUMMYFUNCTION("""COMPUTED_VALUE"""),0.9391435185185185)</f>
        <v>0.9391435185</v>
      </c>
      <c r="K494" s="9">
        <f t="shared" si="1"/>
        <v>12</v>
      </c>
      <c r="L494" s="7">
        <f>IFERROR(__xludf.DUMMYFUNCTION("SPLIT(C494,""T""""Z"")"),44798.0)</f>
        <v>44798</v>
      </c>
      <c r="M494" s="8">
        <f>IFERROR(__xludf.DUMMYFUNCTION("""COMPUTED_VALUE"""),0.6080902777777778)</f>
        <v>0.6080902778</v>
      </c>
      <c r="N494" s="10">
        <f t="shared" si="2"/>
        <v>134.5941667</v>
      </c>
      <c r="O494" s="11">
        <f t="shared" si="3"/>
        <v>0.9886495925</v>
      </c>
    </row>
    <row r="495">
      <c r="A495" s="1" t="s">
        <v>1514</v>
      </c>
      <c r="B495" s="1" t="s">
        <v>1515</v>
      </c>
      <c r="C495" s="1" t="s">
        <v>1516</v>
      </c>
      <c r="D495" s="1">
        <v>112.0</v>
      </c>
      <c r="E495" s="1" t="s">
        <v>1225</v>
      </c>
      <c r="F495" s="1">
        <v>1335.0</v>
      </c>
      <c r="G495" s="1">
        <v>6403.0</v>
      </c>
      <c r="H495" s="1">
        <v>5629.0</v>
      </c>
      <c r="I495" s="7">
        <f>IFERROR(__xludf.DUMMYFUNCTION("SPLIT(B495,""T""""Z"")"),40257.0)</f>
        <v>40257</v>
      </c>
      <c r="J495" s="8">
        <f>IFERROR(__xludf.DUMMYFUNCTION("""COMPUTED_VALUE"""),0.8572106481481482)</f>
        <v>0.8572106481</v>
      </c>
      <c r="K495" s="9">
        <f t="shared" si="1"/>
        <v>12</v>
      </c>
      <c r="L495" s="7">
        <f>IFERROR(__xludf.DUMMYFUNCTION("SPLIT(C495,""T""""Z"")"),44798.0)</f>
        <v>44798</v>
      </c>
      <c r="M495" s="8">
        <f>IFERROR(__xludf.DUMMYFUNCTION("""COMPUTED_VALUE"""),0.5716319444444444)</f>
        <v>0.5716319444</v>
      </c>
      <c r="N495" s="10">
        <f t="shared" si="2"/>
        <v>133.7191667</v>
      </c>
      <c r="O495" s="11">
        <f t="shared" si="3"/>
        <v>0.8791191629</v>
      </c>
    </row>
    <row r="496">
      <c r="A496" s="1" t="s">
        <v>1517</v>
      </c>
      <c r="B496" s="1" t="s">
        <v>1518</v>
      </c>
      <c r="C496" s="1" t="s">
        <v>1519</v>
      </c>
      <c r="D496" s="1">
        <v>10.0</v>
      </c>
      <c r="E496" s="1" t="s">
        <v>206</v>
      </c>
      <c r="F496" s="1">
        <v>22.0</v>
      </c>
      <c r="G496" s="1">
        <v>104.0</v>
      </c>
      <c r="H496" s="1">
        <v>83.0</v>
      </c>
      <c r="I496" s="7">
        <f>IFERROR(__xludf.DUMMYFUNCTION("SPLIT(B496,""T""""Z"")"),41641.0)</f>
        <v>41641</v>
      </c>
      <c r="J496" s="8">
        <f>IFERROR(__xludf.DUMMYFUNCTION("""COMPUTED_VALUE"""),0.6024884259259259)</f>
        <v>0.6024884259</v>
      </c>
      <c r="K496" s="9">
        <f t="shared" si="1"/>
        <v>8</v>
      </c>
      <c r="L496" s="7">
        <f>IFERROR(__xludf.DUMMYFUNCTION("SPLIT(C496,""T""""Z"")"),44798.0)</f>
        <v>44798</v>
      </c>
      <c r="M496" s="8">
        <f>IFERROR(__xludf.DUMMYFUNCTION("""COMPUTED_VALUE"""),0.46543981481481483)</f>
        <v>0.4654398148</v>
      </c>
      <c r="N496" s="10">
        <f t="shared" si="2"/>
        <v>131.1705556</v>
      </c>
      <c r="O496" s="11">
        <f t="shared" si="3"/>
        <v>0.7980769231</v>
      </c>
    </row>
    <row r="497">
      <c r="A497" s="1" t="s">
        <v>1520</v>
      </c>
      <c r="B497" s="1" t="s">
        <v>1521</v>
      </c>
      <c r="C497" s="1" t="s">
        <v>1522</v>
      </c>
      <c r="D497" s="1">
        <v>6.0</v>
      </c>
      <c r="E497" s="1" t="s">
        <v>48</v>
      </c>
      <c r="F497" s="1">
        <v>21.0</v>
      </c>
      <c r="G497" s="1">
        <v>383.0</v>
      </c>
      <c r="H497" s="1">
        <v>98.0</v>
      </c>
      <c r="I497" s="7">
        <f>IFERROR(__xludf.DUMMYFUNCTION("SPLIT(B497,""T""""Z"")"),41888.0)</f>
        <v>41888</v>
      </c>
      <c r="J497" s="8">
        <f>IFERROR(__xludf.DUMMYFUNCTION("""COMPUTED_VALUE"""),0.6040162037037037)</f>
        <v>0.6040162037</v>
      </c>
      <c r="K497" s="9">
        <f t="shared" si="1"/>
        <v>7</v>
      </c>
      <c r="L497" s="7">
        <f>IFERROR(__xludf.DUMMYFUNCTION("SPLIT(C497,""T""""Z"")"),44798.0)</f>
        <v>44798</v>
      </c>
      <c r="M497" s="8">
        <f>IFERROR(__xludf.DUMMYFUNCTION("""COMPUTED_VALUE"""),0.5145486111111112)</f>
        <v>0.5145486111</v>
      </c>
      <c r="N497" s="10">
        <f t="shared" si="2"/>
        <v>132.3491667</v>
      </c>
      <c r="O497" s="11">
        <f t="shared" si="3"/>
        <v>0.2558746736</v>
      </c>
    </row>
    <row r="498">
      <c r="A498" s="1" t="s">
        <v>1523</v>
      </c>
      <c r="B498" s="1" t="s">
        <v>1524</v>
      </c>
      <c r="C498" s="1" t="s">
        <v>1525</v>
      </c>
      <c r="D498" s="1">
        <v>10.0</v>
      </c>
      <c r="E498" s="1" t="s">
        <v>161</v>
      </c>
      <c r="F498" s="1">
        <v>421.0</v>
      </c>
      <c r="G498" s="1">
        <v>362.0</v>
      </c>
      <c r="H498" s="1">
        <v>163.0</v>
      </c>
      <c r="I498" s="7">
        <f>IFERROR(__xludf.DUMMYFUNCTION("SPLIT(B498,""T""""Z"")"),44363.0)</f>
        <v>44363</v>
      </c>
      <c r="J498" s="8">
        <f>IFERROR(__xludf.DUMMYFUNCTION("""COMPUTED_VALUE"""),0.5394444444444444)</f>
        <v>0.5394444444</v>
      </c>
      <c r="K498" s="9">
        <f t="shared" si="1"/>
        <v>1</v>
      </c>
      <c r="L498" s="7">
        <f>IFERROR(__xludf.DUMMYFUNCTION("SPLIT(C498,""T""""Z"")"),44798.0)</f>
        <v>44798</v>
      </c>
      <c r="M498" s="8">
        <f>IFERROR(__xludf.DUMMYFUNCTION("""COMPUTED_VALUE"""),0.6025925925925926)</f>
        <v>0.6025925926</v>
      </c>
      <c r="N498" s="10">
        <f t="shared" si="2"/>
        <v>134.4622222</v>
      </c>
      <c r="O498" s="11">
        <f t="shared" si="3"/>
        <v>0.4502762431</v>
      </c>
    </row>
    <row r="499">
      <c r="A499" s="1" t="s">
        <v>1526</v>
      </c>
      <c r="B499" s="1" t="s">
        <v>1527</v>
      </c>
      <c r="C499" s="1" t="s">
        <v>1528</v>
      </c>
      <c r="D499" s="1">
        <v>0.0</v>
      </c>
      <c r="E499" s="1" t="s">
        <v>38</v>
      </c>
      <c r="F499" s="1">
        <v>1066.0</v>
      </c>
      <c r="G499" s="1">
        <v>275.0</v>
      </c>
      <c r="H499" s="1">
        <v>100.0</v>
      </c>
      <c r="I499" s="7">
        <f>IFERROR(__xludf.DUMMYFUNCTION("SPLIT(B499,""T""""Z"")"),40877.0)</f>
        <v>40877</v>
      </c>
      <c r="J499" s="8">
        <f>IFERROR(__xludf.DUMMYFUNCTION("""COMPUTED_VALUE"""),0.37787037037037036)</f>
        <v>0.3778703704</v>
      </c>
      <c r="K499" s="9">
        <f t="shared" si="1"/>
        <v>10</v>
      </c>
      <c r="L499" s="7">
        <f>IFERROR(__xludf.DUMMYFUNCTION("SPLIT(C499,""T""""Z"")"),44798.0)</f>
        <v>44798</v>
      </c>
      <c r="M499" s="8">
        <f>IFERROR(__xludf.DUMMYFUNCTION("""COMPUTED_VALUE"""),0.6045601851851852)</f>
        <v>0.6045601852</v>
      </c>
      <c r="N499" s="10">
        <f t="shared" si="2"/>
        <v>134.5094444</v>
      </c>
      <c r="O499" s="11">
        <f t="shared" si="3"/>
        <v>0.3636363636</v>
      </c>
    </row>
    <row r="500">
      <c r="A500" s="1" t="s">
        <v>1529</v>
      </c>
      <c r="B500" s="1" t="s">
        <v>1530</v>
      </c>
      <c r="C500" s="1" t="s">
        <v>1531</v>
      </c>
      <c r="D500" s="1">
        <v>0.0</v>
      </c>
      <c r="E500" s="13" t="s">
        <v>22</v>
      </c>
      <c r="F500" s="1">
        <v>104.0</v>
      </c>
      <c r="G500" s="1">
        <v>0.0</v>
      </c>
      <c r="H500" s="1">
        <v>0.0</v>
      </c>
      <c r="I500" s="7">
        <f>IFERROR(__xludf.DUMMYFUNCTION("SPLIT(B500,""T""""Z"")"),42269.0)</f>
        <v>42269</v>
      </c>
      <c r="J500" s="8">
        <f>IFERROR(__xludf.DUMMYFUNCTION("""COMPUTED_VALUE"""),0.8179976851851852)</f>
        <v>0.8179976852</v>
      </c>
      <c r="K500" s="9">
        <f t="shared" si="1"/>
        <v>6</v>
      </c>
      <c r="L500" s="7">
        <f>IFERROR(__xludf.DUMMYFUNCTION("SPLIT(C500,""T""""Z"")"),44798.0)</f>
        <v>44798</v>
      </c>
      <c r="M500" s="8">
        <f>IFERROR(__xludf.DUMMYFUNCTION("""COMPUTED_VALUE"""),0.22549768518518518)</f>
        <v>0.2254976852</v>
      </c>
      <c r="N500" s="12">
        <f t="shared" si="2"/>
        <v>125.4119444</v>
      </c>
      <c r="O500" s="11">
        <f t="shared" si="3"/>
        <v>0</v>
      </c>
    </row>
    <row r="501">
      <c r="A501" s="1" t="s">
        <v>1532</v>
      </c>
      <c r="B501" s="1" t="s">
        <v>1533</v>
      </c>
      <c r="C501" s="1" t="s">
        <v>1534</v>
      </c>
      <c r="D501" s="1">
        <v>0.0</v>
      </c>
      <c r="E501" s="13" t="s">
        <v>22</v>
      </c>
      <c r="F501" s="1">
        <v>57.0</v>
      </c>
      <c r="G501" s="1">
        <v>21.0</v>
      </c>
      <c r="H501" s="1">
        <v>3.0</v>
      </c>
      <c r="I501" s="7">
        <f>IFERROR(__xludf.DUMMYFUNCTION("SPLIT(B501,""T""""Z"")"),42652.0)</f>
        <v>42652</v>
      </c>
      <c r="J501" s="8">
        <f>IFERROR(__xludf.DUMMYFUNCTION("""COMPUTED_VALUE"""),0.8891782407407407)</f>
        <v>0.8891782407</v>
      </c>
      <c r="K501" s="9">
        <f t="shared" si="1"/>
        <v>5</v>
      </c>
      <c r="L501" s="7">
        <f>IFERROR(__xludf.DUMMYFUNCTION("SPLIT(C501,""T""""Z"")"),44798.0)</f>
        <v>44798</v>
      </c>
      <c r="M501" s="8">
        <f>IFERROR(__xludf.DUMMYFUNCTION("""COMPUTED_VALUE"""),0.560300925925926)</f>
        <v>0.5603009259</v>
      </c>
      <c r="N501" s="12">
        <f t="shared" si="2"/>
        <v>133.4472222</v>
      </c>
      <c r="O501" s="11">
        <f t="shared" si="3"/>
        <v>0.1428571429</v>
      </c>
    </row>
    <row r="502">
      <c r="A502" s="1" t="s">
        <v>1535</v>
      </c>
      <c r="B502" s="1" t="s">
        <v>1536</v>
      </c>
      <c r="C502" s="1" t="s">
        <v>1537</v>
      </c>
      <c r="D502" s="1">
        <v>0.0</v>
      </c>
      <c r="E502" s="1" t="s">
        <v>48</v>
      </c>
      <c r="F502" s="1">
        <v>15.0</v>
      </c>
      <c r="G502" s="1">
        <v>549.0</v>
      </c>
      <c r="H502" s="1">
        <v>295.0</v>
      </c>
      <c r="I502" s="7">
        <f>IFERROR(__xludf.DUMMYFUNCTION("SPLIT(B502,""T""""Z"")"),43484.0)</f>
        <v>43484</v>
      </c>
      <c r="J502" s="8">
        <f>IFERROR(__xludf.DUMMYFUNCTION("""COMPUTED_VALUE"""),0.45069444444444445)</f>
        <v>0.4506944444</v>
      </c>
      <c r="K502" s="9">
        <f t="shared" si="1"/>
        <v>3</v>
      </c>
      <c r="L502" s="7">
        <f>IFERROR(__xludf.DUMMYFUNCTION("SPLIT(C502,""T""""Z"")"),44798.0)</f>
        <v>44798</v>
      </c>
      <c r="M502" s="8">
        <f>IFERROR(__xludf.DUMMYFUNCTION("""COMPUTED_VALUE"""),0.5069560185185186)</f>
        <v>0.5069560185</v>
      </c>
      <c r="N502" s="10">
        <f t="shared" si="2"/>
        <v>132.1669444</v>
      </c>
      <c r="O502" s="11">
        <f t="shared" si="3"/>
        <v>0.5373406193</v>
      </c>
    </row>
    <row r="503">
      <c r="A503" s="1" t="s">
        <v>1538</v>
      </c>
      <c r="B503" s="1" t="s">
        <v>1539</v>
      </c>
      <c r="C503" s="1" t="s">
        <v>1540</v>
      </c>
      <c r="D503" s="1">
        <v>0.0</v>
      </c>
      <c r="E503" s="1" t="s">
        <v>38</v>
      </c>
      <c r="F503" s="1">
        <v>176.0</v>
      </c>
      <c r="G503" s="1">
        <v>63.0</v>
      </c>
      <c r="H503" s="1">
        <v>31.0</v>
      </c>
      <c r="I503" s="7">
        <f>IFERROR(__xludf.DUMMYFUNCTION("SPLIT(B503,""T""""Z"")"),42122.0)</f>
        <v>42122</v>
      </c>
      <c r="J503" s="8">
        <f>IFERROR(__xludf.DUMMYFUNCTION("""COMPUTED_VALUE"""),0.9004513888888889)</f>
        <v>0.9004513889</v>
      </c>
      <c r="K503" s="9">
        <f t="shared" si="1"/>
        <v>7</v>
      </c>
      <c r="L503" s="7">
        <f>IFERROR(__xludf.DUMMYFUNCTION("SPLIT(C503,""T""""Z"")"),44798.0)</f>
        <v>44798</v>
      </c>
      <c r="M503" s="8">
        <f>IFERROR(__xludf.DUMMYFUNCTION("""COMPUTED_VALUE"""),0.5734722222222223)</f>
        <v>0.5734722222</v>
      </c>
      <c r="N503" s="10">
        <f t="shared" si="2"/>
        <v>133.7633333</v>
      </c>
      <c r="O503" s="11">
        <f t="shared" si="3"/>
        <v>0.4920634921</v>
      </c>
    </row>
    <row r="504">
      <c r="A504" s="1" t="s">
        <v>1541</v>
      </c>
      <c r="B504" s="1" t="s">
        <v>1542</v>
      </c>
      <c r="C504" s="1" t="s">
        <v>1543</v>
      </c>
      <c r="D504" s="1">
        <v>2.0</v>
      </c>
      <c r="E504" s="1" t="s">
        <v>1544</v>
      </c>
      <c r="F504" s="1">
        <v>500.0</v>
      </c>
      <c r="G504" s="1">
        <v>1499.0</v>
      </c>
      <c r="H504" s="1">
        <v>1385.0</v>
      </c>
      <c r="I504" s="7">
        <f>IFERROR(__xludf.DUMMYFUNCTION("SPLIT(B504,""T""""Z"")"),42505.0)</f>
        <v>42505</v>
      </c>
      <c r="J504" s="8">
        <f>IFERROR(__xludf.DUMMYFUNCTION("""COMPUTED_VALUE"""),0.15472222222222223)</f>
        <v>0.1547222222</v>
      </c>
      <c r="K504" s="9">
        <f t="shared" si="1"/>
        <v>6</v>
      </c>
      <c r="L504" s="7">
        <f>IFERROR(__xludf.DUMMYFUNCTION("SPLIT(C504,""T""""Z"")"),44798.0)</f>
        <v>44798</v>
      </c>
      <c r="M504" s="8">
        <f>IFERROR(__xludf.DUMMYFUNCTION("""COMPUTED_VALUE"""),0.05896990740740741)</f>
        <v>0.05896990741</v>
      </c>
      <c r="N504" s="10">
        <f t="shared" si="2"/>
        <v>121.4152778</v>
      </c>
      <c r="O504" s="11">
        <f t="shared" si="3"/>
        <v>0.9239492995</v>
      </c>
    </row>
    <row r="505">
      <c r="A505" s="1" t="s">
        <v>1545</v>
      </c>
      <c r="B505" s="1" t="s">
        <v>1546</v>
      </c>
      <c r="C505" s="1" t="s">
        <v>1547</v>
      </c>
      <c r="D505" s="1">
        <v>0.0</v>
      </c>
      <c r="E505" s="1" t="s">
        <v>48</v>
      </c>
      <c r="F505" s="1">
        <v>6149.0</v>
      </c>
      <c r="G505" s="1">
        <v>15300.0</v>
      </c>
      <c r="H505" s="1">
        <v>12816.0</v>
      </c>
      <c r="I505" s="7">
        <f>IFERROR(__xludf.DUMMYFUNCTION("SPLIT(B505,""T""""Z"")"),41772.0)</f>
        <v>41772</v>
      </c>
      <c r="J505" s="8">
        <f>IFERROR(__xludf.DUMMYFUNCTION("""COMPUTED_VALUE"""),0.6520601851851852)</f>
        <v>0.6520601852</v>
      </c>
      <c r="K505" s="9">
        <f t="shared" si="1"/>
        <v>8</v>
      </c>
      <c r="L505" s="7">
        <f>IFERROR(__xludf.DUMMYFUNCTION("SPLIT(C505,""T""""Z"")"),44798.0)</f>
        <v>44798</v>
      </c>
      <c r="M505" s="8">
        <f>IFERROR(__xludf.DUMMYFUNCTION("""COMPUTED_VALUE"""),0.5976967592592592)</f>
        <v>0.5976967593</v>
      </c>
      <c r="N505" s="10">
        <f t="shared" si="2"/>
        <v>134.3447222</v>
      </c>
      <c r="O505" s="11">
        <f t="shared" si="3"/>
        <v>0.8376470588</v>
      </c>
    </row>
    <row r="506">
      <c r="A506" s="1" t="s">
        <v>1548</v>
      </c>
      <c r="B506" s="1" t="s">
        <v>1549</v>
      </c>
      <c r="C506" s="1" t="s">
        <v>1105</v>
      </c>
      <c r="D506" s="1">
        <v>34.0</v>
      </c>
      <c r="E506" s="1" t="s">
        <v>88</v>
      </c>
      <c r="F506" s="1">
        <v>1.0</v>
      </c>
      <c r="G506" s="1">
        <v>2808.0</v>
      </c>
      <c r="H506" s="1">
        <v>2796.0</v>
      </c>
      <c r="I506" s="7">
        <f>IFERROR(__xludf.DUMMYFUNCTION("SPLIT(B506,""T""""Z"")"),42158.0)</f>
        <v>42158</v>
      </c>
      <c r="J506" s="8">
        <f>IFERROR(__xludf.DUMMYFUNCTION("""COMPUTED_VALUE"""),0.9811921296296297)</f>
        <v>0.9811921296</v>
      </c>
      <c r="K506" s="9">
        <f t="shared" si="1"/>
        <v>7</v>
      </c>
      <c r="L506" s="7">
        <f>IFERROR(__xludf.DUMMYFUNCTION("SPLIT(C506,""T""""Z"")"),44798.0)</f>
        <v>44798</v>
      </c>
      <c r="M506" s="8">
        <f>IFERROR(__xludf.DUMMYFUNCTION("""COMPUTED_VALUE"""),0.6083912037037037)</f>
        <v>0.6083912037</v>
      </c>
      <c r="N506" s="10">
        <f t="shared" si="2"/>
        <v>134.6013889</v>
      </c>
      <c r="O506" s="11">
        <f t="shared" si="3"/>
        <v>0.9957264957</v>
      </c>
    </row>
    <row r="507">
      <c r="A507" s="1" t="s">
        <v>1550</v>
      </c>
      <c r="B507" s="1" t="s">
        <v>1551</v>
      </c>
      <c r="C507" s="1" t="s">
        <v>1552</v>
      </c>
      <c r="D507" s="1">
        <v>44.0</v>
      </c>
      <c r="E507" s="1" t="s">
        <v>95</v>
      </c>
      <c r="F507" s="1">
        <v>961.0</v>
      </c>
      <c r="G507" s="1">
        <v>3644.0</v>
      </c>
      <c r="H507" s="1">
        <v>1349.0</v>
      </c>
      <c r="I507" s="7">
        <f>IFERROR(__xludf.DUMMYFUNCTION("SPLIT(B507,""T""""Z"")"),40850.0)</f>
        <v>40850</v>
      </c>
      <c r="J507" s="8">
        <f>IFERROR(__xludf.DUMMYFUNCTION("""COMPUTED_VALUE"""),0.21725694444444443)</f>
        <v>0.2172569444</v>
      </c>
      <c r="K507" s="9">
        <f t="shared" si="1"/>
        <v>10</v>
      </c>
      <c r="L507" s="7">
        <f>IFERROR(__xludf.DUMMYFUNCTION("SPLIT(C507,""T""""Z"")"),44798.0)</f>
        <v>44798</v>
      </c>
      <c r="M507" s="8">
        <f>IFERROR(__xludf.DUMMYFUNCTION("""COMPUTED_VALUE"""),0.3971875)</f>
        <v>0.3971875</v>
      </c>
      <c r="N507" s="10">
        <f t="shared" si="2"/>
        <v>129.5325</v>
      </c>
      <c r="O507" s="11">
        <f t="shared" si="3"/>
        <v>0.3701975851</v>
      </c>
    </row>
    <row r="508">
      <c r="A508" s="1" t="s">
        <v>1553</v>
      </c>
      <c r="B508" s="1" t="s">
        <v>1554</v>
      </c>
      <c r="C508" s="1" t="s">
        <v>1555</v>
      </c>
      <c r="D508" s="1">
        <v>0.0</v>
      </c>
      <c r="E508" s="1" t="s">
        <v>48</v>
      </c>
      <c r="F508" s="1">
        <v>283.0</v>
      </c>
      <c r="G508" s="1">
        <v>27.0</v>
      </c>
      <c r="H508" s="1">
        <v>25.0</v>
      </c>
      <c r="I508" s="7">
        <f>IFERROR(__xludf.DUMMYFUNCTION("SPLIT(B508,""T""""Z"")"),43508.0)</f>
        <v>43508</v>
      </c>
      <c r="J508" s="8">
        <f>IFERROR(__xludf.DUMMYFUNCTION("""COMPUTED_VALUE"""),0.5802083333333333)</f>
        <v>0.5802083333</v>
      </c>
      <c r="K508" s="9">
        <f t="shared" si="1"/>
        <v>3</v>
      </c>
      <c r="L508" s="7">
        <f>IFERROR(__xludf.DUMMYFUNCTION("SPLIT(C508,""T""""Z"")"),44798.0)</f>
        <v>44798</v>
      </c>
      <c r="M508" s="8">
        <f>IFERROR(__xludf.DUMMYFUNCTION("""COMPUTED_VALUE"""),0.40167824074074077)</f>
        <v>0.4016782407</v>
      </c>
      <c r="N508" s="10">
        <f t="shared" si="2"/>
        <v>129.6402778</v>
      </c>
      <c r="O508" s="11">
        <f t="shared" si="3"/>
        <v>0.9259259259</v>
      </c>
    </row>
    <row r="509">
      <c r="A509" s="1" t="s">
        <v>1556</v>
      </c>
      <c r="B509" s="1" t="s">
        <v>1557</v>
      </c>
      <c r="C509" s="1" t="s">
        <v>1558</v>
      </c>
      <c r="D509" s="1">
        <v>0.0</v>
      </c>
      <c r="E509" s="1" t="s">
        <v>68</v>
      </c>
      <c r="F509" s="1">
        <v>36.0</v>
      </c>
      <c r="G509" s="1">
        <v>357.0</v>
      </c>
      <c r="H509" s="1">
        <v>124.0</v>
      </c>
      <c r="I509" s="7">
        <f>IFERROR(__xludf.DUMMYFUNCTION("SPLIT(B509,""T""""Z"")"),40198.0)</f>
        <v>40198</v>
      </c>
      <c r="J509" s="8">
        <f>IFERROR(__xludf.DUMMYFUNCTION("""COMPUTED_VALUE"""),0.9681944444444445)</f>
        <v>0.9681944444</v>
      </c>
      <c r="K509" s="9">
        <f t="shared" si="1"/>
        <v>12</v>
      </c>
      <c r="L509" s="7">
        <f>IFERROR(__xludf.DUMMYFUNCTION("SPLIT(C509,""T""""Z"")"),44797.0)</f>
        <v>44797</v>
      </c>
      <c r="M509" s="8">
        <f>IFERROR(__xludf.DUMMYFUNCTION("""COMPUTED_VALUE"""),0.7223263888888889)</f>
        <v>0.7223263889</v>
      </c>
      <c r="N509" s="10">
        <f t="shared" si="2"/>
        <v>161.3358333</v>
      </c>
      <c r="O509" s="11">
        <f t="shared" si="3"/>
        <v>0.3473389356</v>
      </c>
    </row>
    <row r="510">
      <c r="A510" s="1" t="s">
        <v>1559</v>
      </c>
      <c r="B510" s="1" t="s">
        <v>1560</v>
      </c>
      <c r="C510" s="1" t="s">
        <v>462</v>
      </c>
      <c r="D510" s="1">
        <v>35.0</v>
      </c>
      <c r="E510" s="1" t="s">
        <v>686</v>
      </c>
      <c r="F510" s="1">
        <v>394.0</v>
      </c>
      <c r="G510" s="1">
        <v>4033.0</v>
      </c>
      <c r="H510" s="1">
        <v>3258.0</v>
      </c>
      <c r="I510" s="7">
        <f>IFERROR(__xludf.DUMMYFUNCTION("SPLIT(B510,""T""""Z"")"),42083.0)</f>
        <v>42083</v>
      </c>
      <c r="J510" s="8">
        <f>IFERROR(__xludf.DUMMYFUNCTION("""COMPUTED_VALUE"""),0.4508333333333333)</f>
        <v>0.4508333333</v>
      </c>
      <c r="K510" s="9">
        <f t="shared" si="1"/>
        <v>7</v>
      </c>
      <c r="L510" s="7">
        <f>IFERROR(__xludf.DUMMYFUNCTION("SPLIT(C510,""T""""Z"")"),44798.0)</f>
        <v>44798</v>
      </c>
      <c r="M510" s="8">
        <f>IFERROR(__xludf.DUMMYFUNCTION("""COMPUTED_VALUE"""),0.5530208333333333)</f>
        <v>0.5530208333</v>
      </c>
      <c r="N510" s="10">
        <f t="shared" si="2"/>
        <v>133.2725</v>
      </c>
      <c r="O510" s="11">
        <f t="shared" si="3"/>
        <v>0.8078353583</v>
      </c>
    </row>
    <row r="511">
      <c r="A511" s="1" t="s">
        <v>1561</v>
      </c>
      <c r="B511" s="1" t="s">
        <v>1562</v>
      </c>
      <c r="C511" s="1" t="s">
        <v>1563</v>
      </c>
      <c r="D511" s="1">
        <v>0.0</v>
      </c>
      <c r="E511" s="1" t="s">
        <v>347</v>
      </c>
      <c r="F511" s="1">
        <v>13.0</v>
      </c>
      <c r="G511" s="1">
        <v>62.0</v>
      </c>
      <c r="H511" s="1">
        <v>15.0</v>
      </c>
      <c r="I511" s="7">
        <f>IFERROR(__xludf.DUMMYFUNCTION("SPLIT(B511,""T""""Z"")"),43043.0)</f>
        <v>43043</v>
      </c>
      <c r="J511" s="8">
        <f>IFERROR(__xludf.DUMMYFUNCTION("""COMPUTED_VALUE"""),0.41953703703703704)</f>
        <v>0.419537037</v>
      </c>
      <c r="K511" s="9">
        <f t="shared" si="1"/>
        <v>4</v>
      </c>
      <c r="L511" s="7">
        <f>IFERROR(__xludf.DUMMYFUNCTION("SPLIT(C511,""T""""Z"")"),44798.0)</f>
        <v>44798</v>
      </c>
      <c r="M511" s="8">
        <f>IFERROR(__xludf.DUMMYFUNCTION("""COMPUTED_VALUE"""),0.5249421296296296)</f>
        <v>0.5249421296</v>
      </c>
      <c r="N511" s="10">
        <f t="shared" si="2"/>
        <v>132.5986111</v>
      </c>
      <c r="O511" s="11">
        <f t="shared" si="3"/>
        <v>0.2419354839</v>
      </c>
    </row>
    <row r="512">
      <c r="A512" s="1" t="s">
        <v>1564</v>
      </c>
      <c r="B512" s="1" t="s">
        <v>1565</v>
      </c>
      <c r="C512" s="1" t="s">
        <v>1566</v>
      </c>
      <c r="D512" s="1">
        <v>36.0</v>
      </c>
      <c r="E512" s="1" t="s">
        <v>48</v>
      </c>
      <c r="F512" s="1">
        <v>1991.0</v>
      </c>
      <c r="G512" s="1">
        <v>1862.0</v>
      </c>
      <c r="H512" s="1">
        <v>1783.0</v>
      </c>
      <c r="I512" s="7">
        <f>IFERROR(__xludf.DUMMYFUNCTION("SPLIT(B512,""T""""Z"")"),42324.0)</f>
        <v>42324</v>
      </c>
      <c r="J512" s="8">
        <f>IFERROR(__xludf.DUMMYFUNCTION("""COMPUTED_VALUE"""),0.5226041666666666)</f>
        <v>0.5226041667</v>
      </c>
      <c r="K512" s="9">
        <f t="shared" si="1"/>
        <v>6</v>
      </c>
      <c r="L512" s="7">
        <f>IFERROR(__xludf.DUMMYFUNCTION("SPLIT(C512,""T""""Z"")"),44798.0)</f>
        <v>44798</v>
      </c>
      <c r="M512" s="8">
        <f>IFERROR(__xludf.DUMMYFUNCTION("""COMPUTED_VALUE"""),0.26155092592592594)</f>
        <v>0.2615509259</v>
      </c>
      <c r="N512" s="10">
        <f t="shared" si="2"/>
        <v>126.2772222</v>
      </c>
      <c r="O512" s="11">
        <f t="shared" si="3"/>
        <v>0.9575725027</v>
      </c>
    </row>
    <row r="513">
      <c r="A513" s="1" t="s">
        <v>1567</v>
      </c>
      <c r="B513" s="1" t="s">
        <v>1568</v>
      </c>
      <c r="C513" s="1" t="s">
        <v>1569</v>
      </c>
      <c r="D513" s="1">
        <v>0.0</v>
      </c>
      <c r="E513" s="13" t="s">
        <v>22</v>
      </c>
      <c r="F513" s="1">
        <v>52.0</v>
      </c>
      <c r="G513" s="1">
        <v>2489.0</v>
      </c>
      <c r="H513" s="1">
        <v>491.0</v>
      </c>
      <c r="I513" s="7">
        <f>IFERROR(__xludf.DUMMYFUNCTION("SPLIT(B513,""T""""Z"")"),43386.0)</f>
        <v>43386</v>
      </c>
      <c r="J513" s="8">
        <f>IFERROR(__xludf.DUMMYFUNCTION("""COMPUTED_VALUE"""),0.5250810185185185)</f>
        <v>0.5250810185</v>
      </c>
      <c r="K513" s="9">
        <f t="shared" si="1"/>
        <v>3</v>
      </c>
      <c r="L513" s="7">
        <f>IFERROR(__xludf.DUMMYFUNCTION("SPLIT(C513,""T""""Z"")"),44798.0)</f>
        <v>44798</v>
      </c>
      <c r="M513" s="8">
        <f>IFERROR(__xludf.DUMMYFUNCTION("""COMPUTED_VALUE"""),0.5388773148148148)</f>
        <v>0.5388773148</v>
      </c>
      <c r="N513" s="12">
        <f t="shared" si="2"/>
        <v>132.9330556</v>
      </c>
      <c r="O513" s="11">
        <f t="shared" si="3"/>
        <v>0.1972679791</v>
      </c>
    </row>
    <row r="514">
      <c r="A514" s="1" t="s">
        <v>1570</v>
      </c>
      <c r="B514" s="1" t="s">
        <v>1571</v>
      </c>
      <c r="C514" s="1" t="s">
        <v>1572</v>
      </c>
      <c r="D514" s="1">
        <v>0.0</v>
      </c>
      <c r="E514" s="1" t="s">
        <v>95</v>
      </c>
      <c r="F514" s="1">
        <v>346.0</v>
      </c>
      <c r="G514" s="1">
        <v>1175.0</v>
      </c>
      <c r="H514" s="1">
        <v>1078.0</v>
      </c>
      <c r="I514" s="7">
        <f>IFERROR(__xludf.DUMMYFUNCTION("SPLIT(B514,""T""""Z"")"),41338.0)</f>
        <v>41338</v>
      </c>
      <c r="J514" s="8">
        <f>IFERROR(__xludf.DUMMYFUNCTION("""COMPUTED_VALUE"""),0.34651620370370373)</f>
        <v>0.3465162037</v>
      </c>
      <c r="K514" s="9">
        <f t="shared" si="1"/>
        <v>9</v>
      </c>
      <c r="L514" s="7">
        <f>IFERROR(__xludf.DUMMYFUNCTION("SPLIT(C514,""T""""Z"")"),44798.0)</f>
        <v>44798</v>
      </c>
      <c r="M514" s="8">
        <f>IFERROR(__xludf.DUMMYFUNCTION("""COMPUTED_VALUE"""),0.3149074074074074)</f>
        <v>0.3149074074</v>
      </c>
      <c r="N514" s="10">
        <f t="shared" si="2"/>
        <v>127.5577778</v>
      </c>
      <c r="O514" s="11">
        <f t="shared" si="3"/>
        <v>0.9174468085</v>
      </c>
    </row>
    <row r="515">
      <c r="A515" s="1" t="s">
        <v>1573</v>
      </c>
      <c r="B515" s="1" t="s">
        <v>1574</v>
      </c>
      <c r="C515" s="1" t="s">
        <v>1575</v>
      </c>
      <c r="D515" s="1">
        <v>35.0</v>
      </c>
      <c r="E515" s="1" t="s">
        <v>38</v>
      </c>
      <c r="F515" s="1">
        <v>191.0</v>
      </c>
      <c r="G515" s="1">
        <v>381.0</v>
      </c>
      <c r="H515" s="1">
        <v>155.0</v>
      </c>
      <c r="I515" s="7">
        <f>IFERROR(__xludf.DUMMYFUNCTION("SPLIT(B515,""T""""Z"")"),43863.0)</f>
        <v>43863</v>
      </c>
      <c r="J515" s="8">
        <f>IFERROR(__xludf.DUMMYFUNCTION("""COMPUTED_VALUE"""),0.64125)</f>
        <v>0.64125</v>
      </c>
      <c r="K515" s="9">
        <f t="shared" si="1"/>
        <v>2</v>
      </c>
      <c r="L515" s="7">
        <f>IFERROR(__xludf.DUMMYFUNCTION("SPLIT(C515,""T""""Z"")"),44798.0)</f>
        <v>44798</v>
      </c>
      <c r="M515" s="8">
        <f>IFERROR(__xludf.DUMMYFUNCTION("""COMPUTED_VALUE"""),0.607037037037037)</f>
        <v>0.607037037</v>
      </c>
      <c r="N515" s="10">
        <f t="shared" si="2"/>
        <v>134.5688889</v>
      </c>
      <c r="O515" s="11">
        <f t="shared" si="3"/>
        <v>0.406824147</v>
      </c>
    </row>
    <row r="516">
      <c r="A516" s="1" t="s">
        <v>1576</v>
      </c>
      <c r="B516" s="1" t="s">
        <v>1577</v>
      </c>
      <c r="C516" s="1" t="s">
        <v>1578</v>
      </c>
      <c r="D516" s="1">
        <v>70.0</v>
      </c>
      <c r="E516" s="1" t="s">
        <v>52</v>
      </c>
      <c r="F516" s="1">
        <v>434.0</v>
      </c>
      <c r="G516" s="1">
        <v>6355.0</v>
      </c>
      <c r="H516" s="1">
        <v>5013.0</v>
      </c>
      <c r="I516" s="7">
        <f>IFERROR(__xludf.DUMMYFUNCTION("SPLIT(B516,""T""""Z"")"),41212.0)</f>
        <v>41212</v>
      </c>
      <c r="J516" s="8">
        <f>IFERROR(__xludf.DUMMYFUNCTION("""COMPUTED_VALUE"""),0.23457175925925927)</f>
        <v>0.2345717593</v>
      </c>
      <c r="K516" s="9">
        <f t="shared" si="1"/>
        <v>9</v>
      </c>
      <c r="L516" s="7">
        <f>IFERROR(__xludf.DUMMYFUNCTION("SPLIT(C516,""T""""Z"")"),44798.0)</f>
        <v>44798</v>
      </c>
      <c r="M516" s="8">
        <f>IFERROR(__xludf.DUMMYFUNCTION("""COMPUTED_VALUE"""),0.3061689814814815)</f>
        <v>0.3061689815</v>
      </c>
      <c r="N516" s="10">
        <f t="shared" si="2"/>
        <v>127.3480556</v>
      </c>
      <c r="O516" s="11">
        <f t="shared" si="3"/>
        <v>0.7888276947</v>
      </c>
    </row>
    <row r="517">
      <c r="A517" s="1" t="s">
        <v>1579</v>
      </c>
      <c r="B517" s="1" t="s">
        <v>1580</v>
      </c>
      <c r="C517" s="1" t="s">
        <v>1581</v>
      </c>
      <c r="D517" s="1">
        <v>78.0</v>
      </c>
      <c r="E517" s="1" t="s">
        <v>18</v>
      </c>
      <c r="F517" s="1">
        <v>1005.0</v>
      </c>
      <c r="G517" s="1">
        <v>1826.0</v>
      </c>
      <c r="H517" s="1">
        <v>1814.0</v>
      </c>
      <c r="I517" s="7">
        <f>IFERROR(__xludf.DUMMYFUNCTION("SPLIT(B517,""T""""Z"")"),42077.0)</f>
        <v>42077</v>
      </c>
      <c r="J517" s="8">
        <f>IFERROR(__xludf.DUMMYFUNCTION("""COMPUTED_VALUE"""),0.6053009259259259)</f>
        <v>0.6053009259</v>
      </c>
      <c r="K517" s="9">
        <f t="shared" si="1"/>
        <v>7</v>
      </c>
      <c r="L517" s="7">
        <f>IFERROR(__xludf.DUMMYFUNCTION("SPLIT(C517,""T""""Z"")"),44798.0)</f>
        <v>44798</v>
      </c>
      <c r="M517" s="8">
        <f>IFERROR(__xludf.DUMMYFUNCTION("""COMPUTED_VALUE"""),0.6026273148148148)</f>
        <v>0.6026273148</v>
      </c>
      <c r="N517" s="10">
        <f t="shared" si="2"/>
        <v>134.4630556</v>
      </c>
      <c r="O517" s="11">
        <f t="shared" si="3"/>
        <v>0.9934282585</v>
      </c>
    </row>
    <row r="518">
      <c r="A518" s="1" t="s">
        <v>1582</v>
      </c>
      <c r="B518" s="1" t="s">
        <v>1583</v>
      </c>
      <c r="C518" s="1" t="s">
        <v>1584</v>
      </c>
      <c r="D518" s="1">
        <v>522.0</v>
      </c>
      <c r="E518" s="1" t="s">
        <v>18</v>
      </c>
      <c r="F518" s="1">
        <v>7599.0</v>
      </c>
      <c r="G518" s="1">
        <v>13826.0</v>
      </c>
      <c r="H518" s="1">
        <v>13618.0</v>
      </c>
      <c r="I518" s="7">
        <f>IFERROR(__xludf.DUMMYFUNCTION("SPLIT(B518,""T""""Z"")"),42159.0)</f>
        <v>42159</v>
      </c>
      <c r="J518" s="8">
        <f>IFERROR(__xludf.DUMMYFUNCTION("""COMPUTED_VALUE"""),0.8261226851851852)</f>
        <v>0.8261226852</v>
      </c>
      <c r="K518" s="9">
        <f t="shared" si="1"/>
        <v>7</v>
      </c>
      <c r="L518" s="7">
        <f>IFERROR(__xludf.DUMMYFUNCTION("SPLIT(C518,""T""""Z"")"),44798.0)</f>
        <v>44798</v>
      </c>
      <c r="M518" s="8">
        <f>IFERROR(__xludf.DUMMYFUNCTION("""COMPUTED_VALUE"""),0.5640277777777778)</f>
        <v>0.5640277778</v>
      </c>
      <c r="N518" s="10">
        <f t="shared" si="2"/>
        <v>133.5366667</v>
      </c>
      <c r="O518" s="11">
        <f t="shared" si="3"/>
        <v>0.9849558802</v>
      </c>
    </row>
    <row r="519">
      <c r="A519" s="1" t="s">
        <v>1585</v>
      </c>
      <c r="B519" s="1" t="s">
        <v>1586</v>
      </c>
      <c r="C519" s="1" t="s">
        <v>1587</v>
      </c>
      <c r="D519" s="1">
        <v>21.0</v>
      </c>
      <c r="E519" s="1" t="s">
        <v>124</v>
      </c>
      <c r="F519" s="1">
        <v>958.0</v>
      </c>
      <c r="G519" s="1">
        <v>1762.0</v>
      </c>
      <c r="H519" s="1">
        <v>1722.0</v>
      </c>
      <c r="I519" s="7">
        <f>IFERROR(__xludf.DUMMYFUNCTION("SPLIT(B519,""T""""Z"")"),41677.0)</f>
        <v>41677</v>
      </c>
      <c r="J519" s="8">
        <f>IFERROR(__xludf.DUMMYFUNCTION("""COMPUTED_VALUE"""),0.32967592592592593)</f>
        <v>0.3296759259</v>
      </c>
      <c r="K519" s="9">
        <f t="shared" si="1"/>
        <v>8</v>
      </c>
      <c r="L519" s="7">
        <f>IFERROR(__xludf.DUMMYFUNCTION("SPLIT(C519,""T""""Z"")"),44798.0)</f>
        <v>44798</v>
      </c>
      <c r="M519" s="8">
        <f>IFERROR(__xludf.DUMMYFUNCTION("""COMPUTED_VALUE"""),0.5887037037037037)</f>
        <v>0.5887037037</v>
      </c>
      <c r="N519" s="10">
        <f t="shared" si="2"/>
        <v>134.1288889</v>
      </c>
      <c r="O519" s="11">
        <f t="shared" si="3"/>
        <v>0.9772985244</v>
      </c>
    </row>
    <row r="520">
      <c r="A520" s="1" t="s">
        <v>1588</v>
      </c>
      <c r="B520" s="1" t="s">
        <v>1589</v>
      </c>
      <c r="C520" s="1" t="s">
        <v>1590</v>
      </c>
      <c r="D520" s="1">
        <v>0.0</v>
      </c>
      <c r="E520" s="1" t="s">
        <v>48</v>
      </c>
      <c r="F520" s="1">
        <v>650.0</v>
      </c>
      <c r="G520" s="1">
        <v>2228.0</v>
      </c>
      <c r="H520" s="1">
        <v>2166.0</v>
      </c>
      <c r="I520" s="7">
        <f>IFERROR(__xludf.DUMMYFUNCTION("SPLIT(B520,""T""""Z"")"),40566.0)</f>
        <v>40566</v>
      </c>
      <c r="J520" s="8">
        <f>IFERROR(__xludf.DUMMYFUNCTION("""COMPUTED_VALUE"""),0.05918981481481481)</f>
        <v>0.05918981481</v>
      </c>
      <c r="K520" s="9">
        <f t="shared" si="1"/>
        <v>11</v>
      </c>
      <c r="L520" s="7">
        <f>IFERROR(__xludf.DUMMYFUNCTION("SPLIT(C520,""T""""Z"")"),44798.0)</f>
        <v>44798</v>
      </c>
      <c r="M520" s="8">
        <f>IFERROR(__xludf.DUMMYFUNCTION("""COMPUTED_VALUE"""),0.5948611111111111)</f>
        <v>0.5948611111</v>
      </c>
      <c r="N520" s="10">
        <f t="shared" si="2"/>
        <v>134.2766667</v>
      </c>
      <c r="O520" s="11">
        <f t="shared" si="3"/>
        <v>0.9721723519</v>
      </c>
    </row>
    <row r="521">
      <c r="A521" s="1" t="s">
        <v>1591</v>
      </c>
      <c r="B521" s="1" t="s">
        <v>1592</v>
      </c>
      <c r="C521" s="1" t="s">
        <v>1593</v>
      </c>
      <c r="D521" s="1">
        <v>0.0</v>
      </c>
      <c r="E521" s="1" t="s">
        <v>48</v>
      </c>
      <c r="F521" s="1">
        <v>6277.0</v>
      </c>
      <c r="G521" s="1">
        <v>7415.0</v>
      </c>
      <c r="H521" s="1">
        <v>6910.0</v>
      </c>
      <c r="I521" s="7">
        <f>IFERROR(__xludf.DUMMYFUNCTION("SPLIT(B521,""T""""Z"")"),42869.0)</f>
        <v>42869</v>
      </c>
      <c r="J521" s="8">
        <f>IFERROR(__xludf.DUMMYFUNCTION("""COMPUTED_VALUE"""),0.6541203703703704)</f>
        <v>0.6541203704</v>
      </c>
      <c r="K521" s="9">
        <f t="shared" si="1"/>
        <v>5</v>
      </c>
      <c r="L521" s="7">
        <f>IFERROR(__xludf.DUMMYFUNCTION("SPLIT(C521,""T""""Z"")"),44798.0)</f>
        <v>44798</v>
      </c>
      <c r="M521" s="8">
        <f>IFERROR(__xludf.DUMMYFUNCTION("""COMPUTED_VALUE"""),0.6017824074074074)</f>
        <v>0.6017824074</v>
      </c>
      <c r="N521" s="10">
        <f t="shared" si="2"/>
        <v>134.4427778</v>
      </c>
      <c r="O521" s="11">
        <f t="shared" si="3"/>
        <v>0.9318948078</v>
      </c>
    </row>
    <row r="522">
      <c r="A522" s="1" t="s">
        <v>1594</v>
      </c>
      <c r="B522" s="1" t="s">
        <v>1595</v>
      </c>
      <c r="C522" s="1" t="s">
        <v>1596</v>
      </c>
      <c r="D522" s="1">
        <v>0.0</v>
      </c>
      <c r="E522" s="1" t="s">
        <v>52</v>
      </c>
      <c r="F522" s="1">
        <v>33.0</v>
      </c>
      <c r="G522" s="1">
        <v>51.0</v>
      </c>
      <c r="H522" s="1">
        <v>40.0</v>
      </c>
      <c r="I522" s="7">
        <f>IFERROR(__xludf.DUMMYFUNCTION("SPLIT(B522,""T""""Z"")"),43140.0)</f>
        <v>43140</v>
      </c>
      <c r="J522" s="8">
        <f>IFERROR(__xludf.DUMMYFUNCTION("""COMPUTED_VALUE"""),0.40958333333333335)</f>
        <v>0.4095833333</v>
      </c>
      <c r="K522" s="9">
        <f t="shared" si="1"/>
        <v>4</v>
      </c>
      <c r="L522" s="7">
        <f>IFERROR(__xludf.DUMMYFUNCTION("SPLIT(C522,""T""""Z"")"),44798.0)</f>
        <v>44798</v>
      </c>
      <c r="M522" s="8">
        <f>IFERROR(__xludf.DUMMYFUNCTION("""COMPUTED_VALUE"""),0.5929976851851851)</f>
        <v>0.5929976852</v>
      </c>
      <c r="N522" s="10">
        <f t="shared" si="2"/>
        <v>134.2319444</v>
      </c>
      <c r="O522" s="11">
        <f t="shared" si="3"/>
        <v>0.7843137255</v>
      </c>
    </row>
    <row r="523">
      <c r="A523" s="1" t="s">
        <v>1597</v>
      </c>
      <c r="B523" s="1" t="s">
        <v>1598</v>
      </c>
      <c r="C523" s="1" t="s">
        <v>1599</v>
      </c>
      <c r="D523" s="1">
        <v>0.0</v>
      </c>
      <c r="E523" s="1" t="s">
        <v>52</v>
      </c>
      <c r="F523" s="1">
        <v>749.0</v>
      </c>
      <c r="G523" s="1">
        <v>892.0</v>
      </c>
      <c r="H523" s="1">
        <v>623.0</v>
      </c>
      <c r="I523" s="7">
        <f>IFERROR(__xludf.DUMMYFUNCTION("SPLIT(B523,""T""""Z"")"),43493.0)</f>
        <v>43493</v>
      </c>
      <c r="J523" s="8">
        <f>IFERROR(__xludf.DUMMYFUNCTION("""COMPUTED_VALUE"""),0.7470949074074074)</f>
        <v>0.7470949074</v>
      </c>
      <c r="K523" s="9">
        <f t="shared" si="1"/>
        <v>3</v>
      </c>
      <c r="L523" s="7">
        <f>IFERROR(__xludf.DUMMYFUNCTION("SPLIT(C523,""T""""Z"")"),44798.0)</f>
        <v>44798</v>
      </c>
      <c r="M523" s="8">
        <f>IFERROR(__xludf.DUMMYFUNCTION("""COMPUTED_VALUE"""),0.5283217592592593)</f>
        <v>0.5283217593</v>
      </c>
      <c r="N523" s="10">
        <f t="shared" si="2"/>
        <v>132.6797222</v>
      </c>
      <c r="O523" s="11">
        <f t="shared" si="3"/>
        <v>0.6984304933</v>
      </c>
    </row>
    <row r="524">
      <c r="A524" s="1" t="s">
        <v>1600</v>
      </c>
      <c r="B524" s="1" t="s">
        <v>1601</v>
      </c>
      <c r="C524" s="1" t="s">
        <v>1602</v>
      </c>
      <c r="D524" s="1">
        <v>0.0</v>
      </c>
      <c r="E524" s="1" t="s">
        <v>124</v>
      </c>
      <c r="F524" s="1">
        <v>38201.0</v>
      </c>
      <c r="G524" s="1">
        <v>43881.0</v>
      </c>
      <c r="H524" s="1">
        <v>39034.0</v>
      </c>
      <c r="I524" s="7">
        <f>IFERROR(__xludf.DUMMYFUNCTION("SPLIT(B524,""T""""Z"")"),41676.0)</f>
        <v>41676</v>
      </c>
      <c r="J524" s="8">
        <f>IFERROR(__xludf.DUMMYFUNCTION("""COMPUTED_VALUE"""),0.013043981481481481)</f>
        <v>0.01304398148</v>
      </c>
      <c r="K524" s="9">
        <f t="shared" si="1"/>
        <v>8</v>
      </c>
      <c r="L524" s="7">
        <f>IFERROR(__xludf.DUMMYFUNCTION("SPLIT(C524,""T""""Z"")"),44798.0)</f>
        <v>44798</v>
      </c>
      <c r="M524" s="8">
        <f>IFERROR(__xludf.DUMMYFUNCTION("""COMPUTED_VALUE"""),0.5471180555555556)</f>
        <v>0.5471180556</v>
      </c>
      <c r="N524" s="10">
        <f t="shared" si="2"/>
        <v>133.1308333</v>
      </c>
      <c r="O524" s="11">
        <f t="shared" si="3"/>
        <v>0.8895421709</v>
      </c>
    </row>
    <row r="525">
      <c r="A525" s="1" t="s">
        <v>1603</v>
      </c>
      <c r="B525" s="1" t="s">
        <v>1604</v>
      </c>
      <c r="C525" s="1" t="s">
        <v>1605</v>
      </c>
      <c r="D525" s="1">
        <v>38.0</v>
      </c>
      <c r="E525" s="1" t="s">
        <v>48</v>
      </c>
      <c r="F525" s="1">
        <v>146.0</v>
      </c>
      <c r="G525" s="1">
        <v>601.0</v>
      </c>
      <c r="H525" s="1">
        <v>576.0</v>
      </c>
      <c r="I525" s="7">
        <f>IFERROR(__xludf.DUMMYFUNCTION("SPLIT(B525,""T""""Z"")"),41925.0)</f>
        <v>41925</v>
      </c>
      <c r="J525" s="8">
        <f>IFERROR(__xludf.DUMMYFUNCTION("""COMPUTED_VALUE"""),0.018275462962962962)</f>
        <v>0.01827546296</v>
      </c>
      <c r="K525" s="9">
        <f t="shared" si="1"/>
        <v>7</v>
      </c>
      <c r="L525" s="7">
        <f>IFERROR(__xludf.DUMMYFUNCTION("SPLIT(C525,""T""""Z"")"),44798.0)</f>
        <v>44798</v>
      </c>
      <c r="M525" s="8">
        <f>IFERROR(__xludf.DUMMYFUNCTION("""COMPUTED_VALUE"""),0.5833680555555556)</f>
        <v>0.5833680556</v>
      </c>
      <c r="N525" s="10">
        <f t="shared" si="2"/>
        <v>134.0008333</v>
      </c>
      <c r="O525" s="11">
        <f t="shared" si="3"/>
        <v>0.9584026622</v>
      </c>
    </row>
    <row r="526">
      <c r="A526" s="1" t="s">
        <v>1606</v>
      </c>
      <c r="B526" s="1" t="s">
        <v>1607</v>
      </c>
      <c r="C526" s="1" t="s">
        <v>1608</v>
      </c>
      <c r="D526" s="1">
        <v>24.0</v>
      </c>
      <c r="E526" s="1" t="s">
        <v>48</v>
      </c>
      <c r="F526" s="1">
        <v>242.0</v>
      </c>
      <c r="G526" s="1">
        <v>1641.0</v>
      </c>
      <c r="H526" s="1">
        <v>1274.0</v>
      </c>
      <c r="I526" s="7">
        <f>IFERROR(__xludf.DUMMYFUNCTION("SPLIT(B526,""T""""Z"")"),41627.0)</f>
        <v>41627</v>
      </c>
      <c r="J526" s="8">
        <f>IFERROR(__xludf.DUMMYFUNCTION("""COMPUTED_VALUE"""),0.42376157407407405)</f>
        <v>0.4237615741</v>
      </c>
      <c r="K526" s="9">
        <f t="shared" si="1"/>
        <v>8</v>
      </c>
      <c r="L526" s="7">
        <f>IFERROR(__xludf.DUMMYFUNCTION("SPLIT(C526,""T""""Z"")"),44798.0)</f>
        <v>44798</v>
      </c>
      <c r="M526" s="8">
        <f>IFERROR(__xludf.DUMMYFUNCTION("""COMPUTED_VALUE"""),0.4161574074074074)</f>
        <v>0.4161574074</v>
      </c>
      <c r="N526" s="10">
        <f t="shared" si="2"/>
        <v>129.9877778</v>
      </c>
      <c r="O526" s="11">
        <f t="shared" si="3"/>
        <v>0.7763558806</v>
      </c>
    </row>
    <row r="527">
      <c r="A527" s="1" t="s">
        <v>1609</v>
      </c>
      <c r="B527" s="1" t="s">
        <v>1610</v>
      </c>
      <c r="C527" s="1" t="s">
        <v>1611</v>
      </c>
      <c r="D527" s="1">
        <v>0.0</v>
      </c>
      <c r="E527" s="1" t="s">
        <v>48</v>
      </c>
      <c r="F527" s="1">
        <v>494.0</v>
      </c>
      <c r="G527" s="1">
        <v>415.0</v>
      </c>
      <c r="H527" s="1">
        <v>399.0</v>
      </c>
      <c r="I527" s="7">
        <f>IFERROR(__xludf.DUMMYFUNCTION("SPLIT(B527,""T""""Z"")"),41134.0)</f>
        <v>41134</v>
      </c>
      <c r="J527" s="8">
        <f>IFERROR(__xludf.DUMMYFUNCTION("""COMPUTED_VALUE"""),0.9417708333333333)</f>
        <v>0.9417708333</v>
      </c>
      <c r="K527" s="9">
        <f t="shared" si="1"/>
        <v>10</v>
      </c>
      <c r="L527" s="7">
        <f>IFERROR(__xludf.DUMMYFUNCTION("SPLIT(C527,""T""""Z"")"),44798.0)</f>
        <v>44798</v>
      </c>
      <c r="M527" s="8">
        <f>IFERROR(__xludf.DUMMYFUNCTION("""COMPUTED_VALUE"""),0.4678587962962963)</f>
        <v>0.4678587963</v>
      </c>
      <c r="N527" s="10">
        <f t="shared" si="2"/>
        <v>131.2286111</v>
      </c>
      <c r="O527" s="11">
        <f t="shared" si="3"/>
        <v>0.9614457831</v>
      </c>
    </row>
    <row r="528">
      <c r="A528" s="1" t="s">
        <v>1612</v>
      </c>
      <c r="B528" s="1" t="s">
        <v>1613</v>
      </c>
      <c r="C528" s="1" t="s">
        <v>1614</v>
      </c>
      <c r="D528" s="1">
        <v>29.0</v>
      </c>
      <c r="E528" s="1" t="s">
        <v>48</v>
      </c>
      <c r="F528" s="1">
        <v>688.0</v>
      </c>
      <c r="G528" s="1">
        <v>4710.0</v>
      </c>
      <c r="H528" s="1">
        <v>4652.0</v>
      </c>
      <c r="I528" s="7">
        <f>IFERROR(__xludf.DUMMYFUNCTION("SPLIT(B528,""T""""Z"")"),40972.0)</f>
        <v>40972</v>
      </c>
      <c r="J528" s="8">
        <f>IFERROR(__xludf.DUMMYFUNCTION("""COMPUTED_VALUE"""),0.78)</f>
        <v>0.78</v>
      </c>
      <c r="K528" s="9">
        <f t="shared" si="1"/>
        <v>10</v>
      </c>
      <c r="L528" s="7">
        <f>IFERROR(__xludf.DUMMYFUNCTION("SPLIT(C528,""T""""Z"")"),44797.0)</f>
        <v>44797</v>
      </c>
      <c r="M528" s="8">
        <f>IFERROR(__xludf.DUMMYFUNCTION("""COMPUTED_VALUE"""),0.8006481481481481)</f>
        <v>0.8006481481</v>
      </c>
      <c r="N528" s="10">
        <f t="shared" si="2"/>
        <v>163.2155556</v>
      </c>
      <c r="O528" s="11">
        <f t="shared" si="3"/>
        <v>0.9876857749</v>
      </c>
    </row>
    <row r="529">
      <c r="A529" s="1" t="s">
        <v>1615</v>
      </c>
      <c r="B529" s="1" t="s">
        <v>1616</v>
      </c>
      <c r="C529" s="1" t="s">
        <v>1617</v>
      </c>
      <c r="D529" s="1">
        <v>57.0</v>
      </c>
      <c r="E529" s="1" t="s">
        <v>18</v>
      </c>
      <c r="F529" s="1">
        <v>1215.0</v>
      </c>
      <c r="G529" s="1">
        <v>1092.0</v>
      </c>
      <c r="H529" s="1">
        <v>1078.0</v>
      </c>
      <c r="I529" s="7">
        <f>IFERROR(__xludf.DUMMYFUNCTION("SPLIT(B529,""T""""Z"")"),40825.0)</f>
        <v>40825</v>
      </c>
      <c r="J529" s="8">
        <f>IFERROR(__xludf.DUMMYFUNCTION("""COMPUTED_VALUE"""),0.18287037037037038)</f>
        <v>0.1828703704</v>
      </c>
      <c r="K529" s="9">
        <f t="shared" si="1"/>
        <v>10</v>
      </c>
      <c r="L529" s="7">
        <f>IFERROR(__xludf.DUMMYFUNCTION("SPLIT(C529,""T""""Z"")"),44798.0)</f>
        <v>44798</v>
      </c>
      <c r="M529" s="8">
        <f>IFERROR(__xludf.DUMMYFUNCTION("""COMPUTED_VALUE"""),0.3801273148148148)</f>
        <v>0.3801273148</v>
      </c>
      <c r="N529" s="10">
        <f t="shared" si="2"/>
        <v>129.1230556</v>
      </c>
      <c r="O529" s="11">
        <f t="shared" si="3"/>
        <v>0.9871794872</v>
      </c>
    </row>
    <row r="530">
      <c r="A530" s="1" t="s">
        <v>1618</v>
      </c>
      <c r="B530" s="1" t="s">
        <v>1619</v>
      </c>
      <c r="C530" s="1" t="s">
        <v>1620</v>
      </c>
      <c r="D530" s="1">
        <v>0.0</v>
      </c>
      <c r="E530" s="13" t="s">
        <v>22</v>
      </c>
      <c r="F530" s="1">
        <v>2.0</v>
      </c>
      <c r="G530" s="1">
        <v>0.0</v>
      </c>
      <c r="H530" s="1">
        <v>0.0</v>
      </c>
      <c r="I530" s="7">
        <f>IFERROR(__xludf.DUMMYFUNCTION("SPLIT(B530,""T""""Z"")"),41890.0)</f>
        <v>41890</v>
      </c>
      <c r="J530" s="8">
        <f>IFERROR(__xludf.DUMMYFUNCTION("""COMPUTED_VALUE"""),0.33903935185185186)</f>
        <v>0.3390393519</v>
      </c>
      <c r="K530" s="9">
        <f t="shared" si="1"/>
        <v>7</v>
      </c>
      <c r="L530" s="7">
        <f>IFERROR(__xludf.DUMMYFUNCTION("SPLIT(C530,""T""""Z"")"),44798.0)</f>
        <v>44798</v>
      </c>
      <c r="M530" s="8">
        <f>IFERROR(__xludf.DUMMYFUNCTION("""COMPUTED_VALUE"""),0.3377777777777778)</f>
        <v>0.3377777778</v>
      </c>
      <c r="N530" s="12">
        <f t="shared" si="2"/>
        <v>128.1066667</v>
      </c>
      <c r="O530" s="11">
        <f t="shared" si="3"/>
        <v>0</v>
      </c>
    </row>
    <row r="531">
      <c r="A531" s="1" t="s">
        <v>1621</v>
      </c>
      <c r="B531" s="1" t="s">
        <v>1622</v>
      </c>
      <c r="C531" s="1" t="s">
        <v>1623</v>
      </c>
      <c r="D531" s="1">
        <v>62.0</v>
      </c>
      <c r="E531" s="1" t="s">
        <v>124</v>
      </c>
      <c r="F531" s="1">
        <v>10075.0</v>
      </c>
      <c r="G531" s="1">
        <v>5051.0</v>
      </c>
      <c r="H531" s="1">
        <v>4163.0</v>
      </c>
      <c r="I531" s="7">
        <f>IFERROR(__xludf.DUMMYFUNCTION("SPLIT(B531,""T""""Z"")"),42060.0)</f>
        <v>42060</v>
      </c>
      <c r="J531" s="8">
        <f>IFERROR(__xludf.DUMMYFUNCTION("""COMPUTED_VALUE"""),0.011099537037037036)</f>
        <v>0.01109953704</v>
      </c>
      <c r="K531" s="9">
        <f t="shared" si="1"/>
        <v>7</v>
      </c>
      <c r="L531" s="7">
        <f>IFERROR(__xludf.DUMMYFUNCTION("SPLIT(C531,""T""""Z"")"),44798.0)</f>
        <v>44798</v>
      </c>
      <c r="M531" s="8">
        <f>IFERROR(__xludf.DUMMYFUNCTION("""COMPUTED_VALUE"""),0.5655092592592592)</f>
        <v>0.5655092593</v>
      </c>
      <c r="N531" s="10">
        <f t="shared" si="2"/>
        <v>133.5722222</v>
      </c>
      <c r="O531" s="11">
        <f t="shared" si="3"/>
        <v>0.8241932291</v>
      </c>
    </row>
    <row r="532">
      <c r="A532" s="1" t="s">
        <v>1624</v>
      </c>
      <c r="B532" s="1" t="s">
        <v>1625</v>
      </c>
      <c r="C532" s="1" t="s">
        <v>1626</v>
      </c>
      <c r="D532" s="1">
        <v>159.0</v>
      </c>
      <c r="E532" s="1" t="s">
        <v>48</v>
      </c>
      <c r="F532" s="1">
        <v>234.0</v>
      </c>
      <c r="G532" s="1">
        <v>1179.0</v>
      </c>
      <c r="H532" s="1">
        <v>1109.0</v>
      </c>
      <c r="I532" s="7">
        <f>IFERROR(__xludf.DUMMYFUNCTION("SPLIT(B532,""T""""Z"")"),42543.0)</f>
        <v>42543</v>
      </c>
      <c r="J532" s="8">
        <f>IFERROR(__xludf.DUMMYFUNCTION("""COMPUTED_VALUE"""),0.49864583333333334)</f>
        <v>0.4986458333</v>
      </c>
      <c r="K532" s="9">
        <f t="shared" si="1"/>
        <v>6</v>
      </c>
      <c r="L532" s="7">
        <f>IFERROR(__xludf.DUMMYFUNCTION("SPLIT(C532,""T""""Z"")"),44798.0)</f>
        <v>44798</v>
      </c>
      <c r="M532" s="8">
        <f>IFERROR(__xludf.DUMMYFUNCTION("""COMPUTED_VALUE"""),0.5180555555555556)</f>
        <v>0.5180555556</v>
      </c>
      <c r="N532" s="10">
        <f t="shared" si="2"/>
        <v>132.4333333</v>
      </c>
      <c r="O532" s="11">
        <f t="shared" si="3"/>
        <v>0.9406276506</v>
      </c>
    </row>
    <row r="533">
      <c r="A533" s="1" t="s">
        <v>1627</v>
      </c>
      <c r="B533" s="1" t="s">
        <v>1628</v>
      </c>
      <c r="C533" s="1" t="s">
        <v>1629</v>
      </c>
      <c r="D533" s="1">
        <v>0.0</v>
      </c>
      <c r="E533" s="1" t="s">
        <v>38</v>
      </c>
      <c r="F533" s="1">
        <v>0.0</v>
      </c>
      <c r="G533" s="1">
        <v>916.0</v>
      </c>
      <c r="H533" s="1">
        <v>614.0</v>
      </c>
      <c r="I533" s="7">
        <f>IFERROR(__xludf.DUMMYFUNCTION("SPLIT(B533,""T""""Z"")"),43013.0)</f>
        <v>43013</v>
      </c>
      <c r="J533" s="8">
        <f>IFERROR(__xludf.DUMMYFUNCTION("""COMPUTED_VALUE"""),0.7305555555555555)</f>
        <v>0.7305555556</v>
      </c>
      <c r="K533" s="9">
        <f t="shared" si="1"/>
        <v>4</v>
      </c>
      <c r="L533" s="7">
        <f>IFERROR(__xludf.DUMMYFUNCTION("SPLIT(C533,""T""""Z"")"),44798.0)</f>
        <v>44798</v>
      </c>
      <c r="M533" s="8">
        <f>IFERROR(__xludf.DUMMYFUNCTION("""COMPUTED_VALUE"""),0.4190162037037037)</f>
        <v>0.4190162037</v>
      </c>
      <c r="N533" s="10">
        <f t="shared" si="2"/>
        <v>130.0563889</v>
      </c>
      <c r="O533" s="11">
        <f t="shared" si="3"/>
        <v>0.6703056769</v>
      </c>
    </row>
    <row r="534">
      <c r="A534" s="1" t="s">
        <v>1630</v>
      </c>
      <c r="B534" s="1" t="s">
        <v>1631</v>
      </c>
      <c r="C534" s="1" t="s">
        <v>1632</v>
      </c>
      <c r="D534" s="1">
        <v>163.0</v>
      </c>
      <c r="E534" s="1" t="s">
        <v>48</v>
      </c>
      <c r="F534" s="1">
        <v>574.0</v>
      </c>
      <c r="G534" s="1">
        <v>4102.0</v>
      </c>
      <c r="H534" s="1">
        <v>3725.0</v>
      </c>
      <c r="I534" s="7">
        <f>IFERROR(__xludf.DUMMYFUNCTION("SPLIT(B534,""T""""Z"")"),40557.0)</f>
        <v>40557</v>
      </c>
      <c r="J534" s="8">
        <f>IFERROR(__xludf.DUMMYFUNCTION("""COMPUTED_VALUE"""),0.5722569444444444)</f>
        <v>0.5722569444</v>
      </c>
      <c r="K534" s="9">
        <f t="shared" si="1"/>
        <v>11</v>
      </c>
      <c r="L534" s="7">
        <f>IFERROR(__xludf.DUMMYFUNCTION("SPLIT(C534,""T""""Z"")"),44798.0)</f>
        <v>44798</v>
      </c>
      <c r="M534" s="8">
        <f>IFERROR(__xludf.DUMMYFUNCTION("""COMPUTED_VALUE"""),0.4159027777777778)</f>
        <v>0.4159027778</v>
      </c>
      <c r="N534" s="10">
        <f t="shared" si="2"/>
        <v>129.9816667</v>
      </c>
      <c r="O534" s="11">
        <f t="shared" si="3"/>
        <v>0.9080936129</v>
      </c>
    </row>
    <row r="535">
      <c r="A535" s="1" t="s">
        <v>1633</v>
      </c>
      <c r="B535" s="1" t="s">
        <v>1634</v>
      </c>
      <c r="C535" s="1" t="s">
        <v>1635</v>
      </c>
      <c r="D535" s="1">
        <v>25.0</v>
      </c>
      <c r="E535" s="1" t="s">
        <v>48</v>
      </c>
      <c r="F535" s="1">
        <v>786.0</v>
      </c>
      <c r="G535" s="1">
        <v>1472.0</v>
      </c>
      <c r="H535" s="1">
        <v>1308.0</v>
      </c>
      <c r="I535" s="7">
        <f>IFERROR(__xludf.DUMMYFUNCTION("SPLIT(B535,""T""""Z"")"),40081.0)</f>
        <v>40081</v>
      </c>
      <c r="J535" s="8">
        <f>IFERROR(__xludf.DUMMYFUNCTION("""COMPUTED_VALUE"""),0.8426273148148148)</f>
        <v>0.8426273148</v>
      </c>
      <c r="K535" s="9">
        <f t="shared" si="1"/>
        <v>12</v>
      </c>
      <c r="L535" s="7">
        <f>IFERROR(__xludf.DUMMYFUNCTION("SPLIT(C535,""T""""Z"")"),44797.0)</f>
        <v>44797</v>
      </c>
      <c r="M535" s="8">
        <f>IFERROR(__xludf.DUMMYFUNCTION("""COMPUTED_VALUE"""),0.5668055555555556)</f>
        <v>0.5668055556</v>
      </c>
      <c r="N535" s="10">
        <f t="shared" si="2"/>
        <v>157.6033333</v>
      </c>
      <c r="O535" s="11">
        <f t="shared" si="3"/>
        <v>0.8885869565</v>
      </c>
    </row>
    <row r="536">
      <c r="A536" s="1" t="s">
        <v>1636</v>
      </c>
      <c r="B536" s="1" t="s">
        <v>1637</v>
      </c>
      <c r="C536" s="1" t="s">
        <v>1638</v>
      </c>
      <c r="D536" s="1">
        <v>110.0</v>
      </c>
      <c r="E536" s="1" t="s">
        <v>124</v>
      </c>
      <c r="F536" s="1">
        <v>7893.0</v>
      </c>
      <c r="G536" s="1">
        <v>4907.0</v>
      </c>
      <c r="H536" s="1">
        <v>3916.0</v>
      </c>
      <c r="I536" s="7">
        <f>IFERROR(__xludf.DUMMYFUNCTION("SPLIT(B536,""T""""Z"")"),41582.0)</f>
        <v>41582</v>
      </c>
      <c r="J536" s="8">
        <f>IFERROR(__xludf.DUMMYFUNCTION("""COMPUTED_VALUE"""),0.9273958333333333)</f>
        <v>0.9273958333</v>
      </c>
      <c r="K536" s="9">
        <f t="shared" si="1"/>
        <v>8</v>
      </c>
      <c r="L536" s="7">
        <f>IFERROR(__xludf.DUMMYFUNCTION("SPLIT(C536,""T""""Z"")"),44798.0)</f>
        <v>44798</v>
      </c>
      <c r="M536" s="8">
        <f>IFERROR(__xludf.DUMMYFUNCTION("""COMPUTED_VALUE"""),0.46565972222222224)</f>
        <v>0.4656597222</v>
      </c>
      <c r="N536" s="10">
        <f t="shared" si="2"/>
        <v>131.1758333</v>
      </c>
      <c r="O536" s="11">
        <f t="shared" si="3"/>
        <v>0.7980436112</v>
      </c>
    </row>
    <row r="537">
      <c r="A537" s="1" t="s">
        <v>1639</v>
      </c>
      <c r="B537" s="1" t="s">
        <v>1640</v>
      </c>
      <c r="C537" s="1" t="s">
        <v>1641</v>
      </c>
      <c r="D537" s="1">
        <v>0.0</v>
      </c>
      <c r="E537" s="1" t="s">
        <v>1642</v>
      </c>
      <c r="F537" s="1">
        <v>680.0</v>
      </c>
      <c r="G537" s="1">
        <v>262.0</v>
      </c>
      <c r="H537" s="1">
        <v>173.0</v>
      </c>
      <c r="I537" s="7">
        <f>IFERROR(__xludf.DUMMYFUNCTION("SPLIT(B537,""T""""Z"")"),40617.0)</f>
        <v>40617</v>
      </c>
      <c r="J537" s="8">
        <f>IFERROR(__xludf.DUMMYFUNCTION("""COMPUTED_VALUE"""),0.14189814814814813)</f>
        <v>0.1418981481</v>
      </c>
      <c r="K537" s="9">
        <f t="shared" si="1"/>
        <v>11</v>
      </c>
      <c r="L537" s="7">
        <f>IFERROR(__xludf.DUMMYFUNCTION("SPLIT(C537,""T""""Z"")"),44798.0)</f>
        <v>44798</v>
      </c>
      <c r="M537" s="8">
        <f>IFERROR(__xludf.DUMMYFUNCTION("""COMPUTED_VALUE"""),0.5558101851851852)</f>
        <v>0.5558101852</v>
      </c>
      <c r="N537" s="10">
        <f t="shared" si="2"/>
        <v>133.3394444</v>
      </c>
      <c r="O537" s="11">
        <f t="shared" si="3"/>
        <v>0.6603053435</v>
      </c>
    </row>
    <row r="538">
      <c r="A538" s="1" t="s">
        <v>1643</v>
      </c>
      <c r="B538" s="1" t="s">
        <v>1644</v>
      </c>
      <c r="C538" s="1" t="s">
        <v>1645</v>
      </c>
      <c r="D538" s="1">
        <v>0.0</v>
      </c>
      <c r="E538" s="1" t="s">
        <v>95</v>
      </c>
      <c r="F538" s="1">
        <v>17.0</v>
      </c>
      <c r="G538" s="1">
        <v>76.0</v>
      </c>
      <c r="H538" s="1">
        <v>38.0</v>
      </c>
      <c r="I538" s="7">
        <f>IFERROR(__xludf.DUMMYFUNCTION("SPLIT(B538,""T""""Z"")"),43357.0)</f>
        <v>43357</v>
      </c>
      <c r="J538" s="8">
        <f>IFERROR(__xludf.DUMMYFUNCTION("""COMPUTED_VALUE"""),0.19194444444444445)</f>
        <v>0.1919444444</v>
      </c>
      <c r="K538" s="9">
        <f t="shared" si="1"/>
        <v>3</v>
      </c>
      <c r="L538" s="7">
        <f>IFERROR(__xludf.DUMMYFUNCTION("SPLIT(C538,""T""""Z"")"),44798.0)</f>
        <v>44798</v>
      </c>
      <c r="M538" s="8">
        <f>IFERROR(__xludf.DUMMYFUNCTION("""COMPUTED_VALUE"""),0.5790277777777778)</f>
        <v>0.5790277778</v>
      </c>
      <c r="N538" s="10">
        <f t="shared" si="2"/>
        <v>133.8966667</v>
      </c>
      <c r="O538" s="11">
        <f t="shared" si="3"/>
        <v>0.5</v>
      </c>
    </row>
    <row r="539">
      <c r="A539" s="1" t="s">
        <v>1646</v>
      </c>
      <c r="B539" s="1" t="s">
        <v>1647</v>
      </c>
      <c r="C539" s="1" t="s">
        <v>1648</v>
      </c>
      <c r="D539" s="1">
        <v>96.0</v>
      </c>
      <c r="E539" s="1" t="s">
        <v>18</v>
      </c>
      <c r="F539" s="1">
        <v>1594.0</v>
      </c>
      <c r="G539" s="1">
        <v>2883.0</v>
      </c>
      <c r="H539" s="1">
        <v>2374.0</v>
      </c>
      <c r="I539" s="7">
        <f>IFERROR(__xludf.DUMMYFUNCTION("SPLIT(B539,""T""""Z"")"),42539.0)</f>
        <v>42539</v>
      </c>
      <c r="J539" s="8">
        <f>IFERROR(__xludf.DUMMYFUNCTION("""COMPUTED_VALUE"""),0.07826388888888888)</f>
        <v>0.07826388889</v>
      </c>
      <c r="K539" s="9">
        <f t="shared" si="1"/>
        <v>6</v>
      </c>
      <c r="L539" s="7">
        <f>IFERROR(__xludf.DUMMYFUNCTION("SPLIT(C539,""T""""Z"")"),44798.0)</f>
        <v>44798</v>
      </c>
      <c r="M539" s="8">
        <f>IFERROR(__xludf.DUMMYFUNCTION("""COMPUTED_VALUE"""),0.5242013888888889)</f>
        <v>0.5242013889</v>
      </c>
      <c r="N539" s="10">
        <f t="shared" si="2"/>
        <v>132.5808333</v>
      </c>
      <c r="O539" s="11">
        <f t="shared" si="3"/>
        <v>0.8234477974</v>
      </c>
    </row>
    <row r="540">
      <c r="A540" s="1" t="s">
        <v>1649</v>
      </c>
      <c r="B540" s="1" t="s">
        <v>1650</v>
      </c>
      <c r="C540" s="1" t="s">
        <v>1651</v>
      </c>
      <c r="D540" s="1">
        <v>49.0</v>
      </c>
      <c r="E540" s="1" t="s">
        <v>95</v>
      </c>
      <c r="F540" s="1">
        <v>16.0</v>
      </c>
      <c r="G540" s="1">
        <v>0.0</v>
      </c>
      <c r="H540" s="1">
        <v>0.0</v>
      </c>
      <c r="I540" s="7">
        <f>IFERROR(__xludf.DUMMYFUNCTION("SPLIT(B540,""T""""Z"")"),43033.0)</f>
        <v>43033</v>
      </c>
      <c r="J540" s="8">
        <f>IFERROR(__xludf.DUMMYFUNCTION("""COMPUTED_VALUE"""),0.4218402777777778)</f>
        <v>0.4218402778</v>
      </c>
      <c r="K540" s="9">
        <f t="shared" si="1"/>
        <v>4</v>
      </c>
      <c r="L540" s="7">
        <f>IFERROR(__xludf.DUMMYFUNCTION("SPLIT(C540,""T""""Z"")"),44798.0)</f>
        <v>44798</v>
      </c>
      <c r="M540" s="8">
        <f>IFERROR(__xludf.DUMMYFUNCTION("""COMPUTED_VALUE"""),0.5743634259259259)</f>
        <v>0.5743634259</v>
      </c>
      <c r="N540" s="10">
        <f t="shared" si="2"/>
        <v>133.7847222</v>
      </c>
      <c r="O540" s="11">
        <f t="shared" si="3"/>
        <v>0</v>
      </c>
    </row>
    <row r="541">
      <c r="A541" s="1" t="s">
        <v>1652</v>
      </c>
      <c r="B541" s="1" t="s">
        <v>1653</v>
      </c>
      <c r="C541" s="1" t="s">
        <v>1654</v>
      </c>
      <c r="D541" s="1">
        <v>91.0</v>
      </c>
      <c r="E541" s="1" t="s">
        <v>48</v>
      </c>
      <c r="F541" s="1">
        <v>4438.0</v>
      </c>
      <c r="G541" s="1">
        <v>8375.0</v>
      </c>
      <c r="H541" s="1">
        <v>7860.0</v>
      </c>
      <c r="I541" s="7">
        <f>IFERROR(__xludf.DUMMYFUNCTION("SPLIT(B541,""T""""Z"")"),42437.0)</f>
        <v>42437</v>
      </c>
      <c r="J541" s="8">
        <f>IFERROR(__xludf.DUMMYFUNCTION("""COMPUTED_VALUE"""),0.04387731481481481)</f>
        <v>0.04387731481</v>
      </c>
      <c r="K541" s="9">
        <f t="shared" si="1"/>
        <v>6</v>
      </c>
      <c r="L541" s="7">
        <f>IFERROR(__xludf.DUMMYFUNCTION("SPLIT(C541,""T""""Z"")"),44798.0)</f>
        <v>44798</v>
      </c>
      <c r="M541" s="8">
        <f>IFERROR(__xludf.DUMMYFUNCTION("""COMPUTED_VALUE"""),0.31252314814814813)</f>
        <v>0.3125231481</v>
      </c>
      <c r="N541" s="10">
        <f t="shared" si="2"/>
        <v>127.5005556</v>
      </c>
      <c r="O541" s="11">
        <f t="shared" si="3"/>
        <v>0.9385074627</v>
      </c>
    </row>
    <row r="542">
      <c r="A542" s="1" t="s">
        <v>1655</v>
      </c>
      <c r="B542" s="1" t="s">
        <v>1656</v>
      </c>
      <c r="C542" s="1" t="s">
        <v>1657</v>
      </c>
      <c r="D542" s="1">
        <v>0.0</v>
      </c>
      <c r="E542" s="1" t="s">
        <v>347</v>
      </c>
      <c r="F542" s="1">
        <v>107.0</v>
      </c>
      <c r="G542" s="1">
        <v>24.0</v>
      </c>
      <c r="H542" s="1">
        <v>24.0</v>
      </c>
      <c r="I542" s="7">
        <f>IFERROR(__xludf.DUMMYFUNCTION("SPLIT(B542,""T""""Z"")"),43560.0)</f>
        <v>43560</v>
      </c>
      <c r="J542" s="8">
        <f>IFERROR(__xludf.DUMMYFUNCTION("""COMPUTED_VALUE"""),0.14679398148148148)</f>
        <v>0.1467939815</v>
      </c>
      <c r="K542" s="9">
        <f t="shared" si="1"/>
        <v>3</v>
      </c>
      <c r="L542" s="7">
        <f>IFERROR(__xludf.DUMMYFUNCTION("SPLIT(C542,""T""""Z"")"),44798.0)</f>
        <v>44798</v>
      </c>
      <c r="M542" s="8">
        <f>IFERROR(__xludf.DUMMYFUNCTION("""COMPUTED_VALUE"""),0.5458101851851852)</f>
        <v>0.5458101852</v>
      </c>
      <c r="N542" s="10">
        <f t="shared" si="2"/>
        <v>133.0994444</v>
      </c>
      <c r="O542" s="11">
        <f t="shared" si="3"/>
        <v>1</v>
      </c>
    </row>
    <row r="543">
      <c r="A543" s="1" t="s">
        <v>1658</v>
      </c>
      <c r="B543" s="1" t="s">
        <v>1659</v>
      </c>
      <c r="C543" s="1" t="s">
        <v>1660</v>
      </c>
      <c r="D543" s="1">
        <v>382.0</v>
      </c>
      <c r="E543" s="1" t="s">
        <v>52</v>
      </c>
      <c r="F543" s="1">
        <v>22956.0</v>
      </c>
      <c r="G543" s="1">
        <v>12717.0</v>
      </c>
      <c r="H543" s="1">
        <v>10429.0</v>
      </c>
      <c r="I543" s="7">
        <f>IFERROR(__xludf.DUMMYFUNCTION("SPLIT(B543,""T""""Z"")"),42523.0)</f>
        <v>42523</v>
      </c>
      <c r="J543" s="8">
        <f>IFERROR(__xludf.DUMMYFUNCTION("""COMPUTED_VALUE"""),0.3529861111111111)</f>
        <v>0.3529861111</v>
      </c>
      <c r="K543" s="9">
        <f t="shared" si="1"/>
        <v>6</v>
      </c>
      <c r="L543" s="7">
        <f>IFERROR(__xludf.DUMMYFUNCTION("SPLIT(C543,""T""""Z"")"),44798.0)</f>
        <v>44798</v>
      </c>
      <c r="M543" s="8">
        <f>IFERROR(__xludf.DUMMYFUNCTION("""COMPUTED_VALUE"""),0.5813194444444445)</f>
        <v>0.5813194444</v>
      </c>
      <c r="N543" s="10">
        <f t="shared" si="2"/>
        <v>133.9516667</v>
      </c>
      <c r="O543" s="11">
        <f t="shared" si="3"/>
        <v>0.820083353</v>
      </c>
    </row>
    <row r="544">
      <c r="A544" s="1" t="s">
        <v>1661</v>
      </c>
      <c r="B544" s="1" t="s">
        <v>1662</v>
      </c>
      <c r="C544" s="1" t="s">
        <v>1663</v>
      </c>
      <c r="D544" s="1">
        <v>138.0</v>
      </c>
      <c r="E544" s="1" t="s">
        <v>18</v>
      </c>
      <c r="F544" s="1">
        <v>3089.0</v>
      </c>
      <c r="G544" s="1">
        <v>6862.0</v>
      </c>
      <c r="H544" s="1">
        <v>4695.0</v>
      </c>
      <c r="I544" s="7">
        <f>IFERROR(__xludf.DUMMYFUNCTION("SPLIT(B544,""T""""Z"")"),43636.0)</f>
        <v>43636</v>
      </c>
      <c r="J544" s="8">
        <f>IFERROR(__xludf.DUMMYFUNCTION("""COMPUTED_VALUE"""),0.5651273148148148)</f>
        <v>0.5651273148</v>
      </c>
      <c r="K544" s="9">
        <f t="shared" si="1"/>
        <v>3</v>
      </c>
      <c r="L544" s="7">
        <f>IFERROR(__xludf.DUMMYFUNCTION("SPLIT(C544,""T""""Z"")"),44798.0)</f>
        <v>44798</v>
      </c>
      <c r="M544" s="8">
        <f>IFERROR(__xludf.DUMMYFUNCTION("""COMPUTED_VALUE"""),0.6048842592592593)</f>
        <v>0.6048842593</v>
      </c>
      <c r="N544" s="10">
        <f t="shared" si="2"/>
        <v>134.5172222</v>
      </c>
      <c r="O544" s="11">
        <f t="shared" si="3"/>
        <v>0.6842028563</v>
      </c>
    </row>
    <row r="545">
      <c r="A545" s="1" t="s">
        <v>1664</v>
      </c>
      <c r="B545" s="1" t="s">
        <v>1665</v>
      </c>
      <c r="C545" s="1" t="s">
        <v>643</v>
      </c>
      <c r="D545" s="1">
        <v>0.0</v>
      </c>
      <c r="E545" s="13" t="s">
        <v>22</v>
      </c>
      <c r="F545" s="1">
        <v>43915.0</v>
      </c>
      <c r="G545" s="1">
        <v>448.0</v>
      </c>
      <c r="H545" s="1">
        <v>439.0</v>
      </c>
      <c r="I545" s="7">
        <f>IFERROR(__xludf.DUMMYFUNCTION("SPLIT(B545,""T""""Z"")"),42633.0)</f>
        <v>42633</v>
      </c>
      <c r="J545" s="8">
        <f>IFERROR(__xludf.DUMMYFUNCTION("""COMPUTED_VALUE"""),0.6077430555555555)</f>
        <v>0.6077430556</v>
      </c>
      <c r="K545" s="9">
        <f t="shared" si="1"/>
        <v>5</v>
      </c>
      <c r="L545" s="7">
        <f>IFERROR(__xludf.DUMMYFUNCTION("SPLIT(C545,""T""""Z"")"),44798.0)</f>
        <v>44798</v>
      </c>
      <c r="M545" s="8">
        <f>IFERROR(__xludf.DUMMYFUNCTION("""COMPUTED_VALUE"""),0.6092939814814815)</f>
        <v>0.6092939815</v>
      </c>
      <c r="N545" s="12">
        <f t="shared" si="2"/>
        <v>134.6230556</v>
      </c>
      <c r="O545" s="11">
        <f t="shared" si="3"/>
        <v>0.9799107143</v>
      </c>
    </row>
    <row r="546">
      <c r="A546" s="1" t="s">
        <v>1666</v>
      </c>
      <c r="B546" s="1" t="s">
        <v>1667</v>
      </c>
      <c r="C546" s="1" t="s">
        <v>1668</v>
      </c>
      <c r="D546" s="1">
        <v>33.0</v>
      </c>
      <c r="E546" s="1" t="s">
        <v>18</v>
      </c>
      <c r="F546" s="1">
        <v>960.0</v>
      </c>
      <c r="G546" s="1">
        <v>3321.0</v>
      </c>
      <c r="H546" s="1">
        <v>3120.0</v>
      </c>
      <c r="I546" s="7">
        <f>IFERROR(__xludf.DUMMYFUNCTION("SPLIT(B546,""T""""Z"")"),41877.0)</f>
        <v>41877</v>
      </c>
      <c r="J546" s="8">
        <f>IFERROR(__xludf.DUMMYFUNCTION("""COMPUTED_VALUE"""),0.1859375)</f>
        <v>0.1859375</v>
      </c>
      <c r="K546" s="9">
        <f t="shared" si="1"/>
        <v>8</v>
      </c>
      <c r="L546" s="7">
        <f>IFERROR(__xludf.DUMMYFUNCTION("SPLIT(C546,""T""""Z"")"),44798.0)</f>
        <v>44798</v>
      </c>
      <c r="M546" s="8">
        <f>IFERROR(__xludf.DUMMYFUNCTION("""COMPUTED_VALUE"""),0.5907060185185186)</f>
        <v>0.5907060185</v>
      </c>
      <c r="N546" s="10">
        <f t="shared" si="2"/>
        <v>134.1769444</v>
      </c>
      <c r="O546" s="11">
        <f t="shared" si="3"/>
        <v>0.9394760614</v>
      </c>
    </row>
    <row r="547">
      <c r="A547" s="1" t="s">
        <v>1669</v>
      </c>
      <c r="B547" s="1" t="s">
        <v>1670</v>
      </c>
      <c r="C547" s="1" t="s">
        <v>1671</v>
      </c>
      <c r="D547" s="1">
        <v>32.0</v>
      </c>
      <c r="E547" s="1" t="s">
        <v>48</v>
      </c>
      <c r="F547" s="1">
        <v>699.0</v>
      </c>
      <c r="G547" s="1">
        <v>2254.0</v>
      </c>
      <c r="H547" s="1">
        <v>2120.0</v>
      </c>
      <c r="I547" s="7">
        <f>IFERROR(__xludf.DUMMYFUNCTION("SPLIT(B547,""T""""Z"")"),40153.0)</f>
        <v>40153</v>
      </c>
      <c r="J547" s="8">
        <f>IFERROR(__xludf.DUMMYFUNCTION("""COMPUTED_VALUE"""),0.6225925925925926)</f>
        <v>0.6225925926</v>
      </c>
      <c r="K547" s="9">
        <f t="shared" si="1"/>
        <v>12</v>
      </c>
      <c r="L547" s="7">
        <f>IFERROR(__xludf.DUMMYFUNCTION("SPLIT(C547,""T""""Z"")"),44798.0)</f>
        <v>44798</v>
      </c>
      <c r="M547" s="8">
        <f>IFERROR(__xludf.DUMMYFUNCTION("""COMPUTED_VALUE"""),0.5553472222222222)</f>
        <v>0.5553472222</v>
      </c>
      <c r="N547" s="10">
        <f t="shared" si="2"/>
        <v>133.3283333</v>
      </c>
      <c r="O547" s="11">
        <f t="shared" si="3"/>
        <v>0.9405501331</v>
      </c>
    </row>
    <row r="548">
      <c r="A548" s="1" t="s">
        <v>1672</v>
      </c>
      <c r="B548" s="1" t="s">
        <v>1673</v>
      </c>
      <c r="C548" s="1" t="s">
        <v>1674</v>
      </c>
      <c r="D548" s="1">
        <v>0.0</v>
      </c>
      <c r="E548" s="1" t="s">
        <v>48</v>
      </c>
      <c r="F548" s="1">
        <v>214.0</v>
      </c>
      <c r="G548" s="1">
        <v>0.0</v>
      </c>
      <c r="H548" s="1">
        <v>0.0</v>
      </c>
      <c r="I548" s="7">
        <f>IFERROR(__xludf.DUMMYFUNCTION("SPLIT(B548,""T""""Z"")"),41729.0)</f>
        <v>41729</v>
      </c>
      <c r="J548" s="8">
        <f>IFERROR(__xludf.DUMMYFUNCTION("""COMPUTED_VALUE"""),0.1263425925925926)</f>
        <v>0.1263425926</v>
      </c>
      <c r="K548" s="9">
        <f t="shared" si="1"/>
        <v>8</v>
      </c>
      <c r="L548" s="7">
        <f>IFERROR(__xludf.DUMMYFUNCTION("SPLIT(C548,""T""""Z"")"),44798.0)</f>
        <v>44798</v>
      </c>
      <c r="M548" s="8">
        <f>IFERROR(__xludf.DUMMYFUNCTION("""COMPUTED_VALUE"""),0.3788078703703704)</f>
        <v>0.3788078704</v>
      </c>
      <c r="N548" s="10">
        <f t="shared" si="2"/>
        <v>129.0913889</v>
      </c>
      <c r="O548" s="11">
        <f t="shared" si="3"/>
        <v>0</v>
      </c>
    </row>
    <row r="549">
      <c r="A549" s="1" t="s">
        <v>1675</v>
      </c>
      <c r="B549" s="1" t="s">
        <v>1676</v>
      </c>
      <c r="C549" s="1" t="s">
        <v>1188</v>
      </c>
      <c r="D549" s="1">
        <v>0.0</v>
      </c>
      <c r="E549" s="13" t="s">
        <v>22</v>
      </c>
      <c r="F549" s="1">
        <v>23.0</v>
      </c>
      <c r="G549" s="1">
        <v>71.0</v>
      </c>
      <c r="H549" s="1">
        <v>54.0</v>
      </c>
      <c r="I549" s="7">
        <f>IFERROR(__xludf.DUMMYFUNCTION("SPLIT(B549,""T""""Z"")"),42885.0)</f>
        <v>42885</v>
      </c>
      <c r="J549" s="8">
        <f>IFERROR(__xludf.DUMMYFUNCTION("""COMPUTED_VALUE"""),0.3047685185185185)</f>
        <v>0.3047685185</v>
      </c>
      <c r="K549" s="9">
        <f t="shared" si="1"/>
        <v>5</v>
      </c>
      <c r="L549" s="7">
        <f>IFERROR(__xludf.DUMMYFUNCTION("SPLIT(C549,""T""""Z"")"),44798.0)</f>
        <v>44798</v>
      </c>
      <c r="M549" s="8">
        <f>IFERROR(__xludf.DUMMYFUNCTION("""COMPUTED_VALUE"""),0.6032523148148148)</f>
        <v>0.6032523148</v>
      </c>
      <c r="N549" s="12">
        <f t="shared" si="2"/>
        <v>134.4780556</v>
      </c>
      <c r="O549" s="11">
        <f t="shared" si="3"/>
        <v>0.7605633803</v>
      </c>
    </row>
    <row r="550">
      <c r="A550" s="1" t="s">
        <v>1677</v>
      </c>
      <c r="B550" s="1" t="s">
        <v>1678</v>
      </c>
      <c r="C550" s="1" t="s">
        <v>1679</v>
      </c>
      <c r="D550" s="1">
        <v>84.0</v>
      </c>
      <c r="E550" s="1" t="s">
        <v>95</v>
      </c>
      <c r="F550" s="1">
        <v>418.0</v>
      </c>
      <c r="G550" s="1">
        <v>3408.0</v>
      </c>
      <c r="H550" s="1">
        <v>1624.0</v>
      </c>
      <c r="I550" s="7">
        <f>IFERROR(__xludf.DUMMYFUNCTION("SPLIT(B550,""T""""Z"")"),40850.0)</f>
        <v>40850</v>
      </c>
      <c r="J550" s="8">
        <f>IFERROR(__xludf.DUMMYFUNCTION("""COMPUTED_VALUE"""),0.29087962962962965)</f>
        <v>0.2908796296</v>
      </c>
      <c r="K550" s="9">
        <f t="shared" si="1"/>
        <v>10</v>
      </c>
      <c r="L550" s="7">
        <f>IFERROR(__xludf.DUMMYFUNCTION("SPLIT(C550,""T""""Z"")"),44798.0)</f>
        <v>44798</v>
      </c>
      <c r="M550" s="8">
        <f>IFERROR(__xludf.DUMMYFUNCTION("""COMPUTED_VALUE"""),0.3957175925925926)</f>
        <v>0.3957175926</v>
      </c>
      <c r="N550" s="10">
        <f t="shared" si="2"/>
        <v>129.4972222</v>
      </c>
      <c r="O550" s="11">
        <f t="shared" si="3"/>
        <v>0.4765258216</v>
      </c>
    </row>
    <row r="551">
      <c r="A551" s="1" t="s">
        <v>1680</v>
      </c>
      <c r="B551" s="1" t="s">
        <v>1681</v>
      </c>
      <c r="C551" s="1" t="s">
        <v>1682</v>
      </c>
      <c r="D551" s="1">
        <v>1.0</v>
      </c>
      <c r="E551" s="1" t="s">
        <v>48</v>
      </c>
      <c r="F551" s="1">
        <v>140.0</v>
      </c>
      <c r="G551" s="1">
        <v>2323.0</v>
      </c>
      <c r="H551" s="1">
        <v>889.0</v>
      </c>
      <c r="I551" s="7">
        <f>IFERROR(__xludf.DUMMYFUNCTION("SPLIT(B551,""T""""Z"")"),42520.0)</f>
        <v>42520</v>
      </c>
      <c r="J551" s="8">
        <f>IFERROR(__xludf.DUMMYFUNCTION("""COMPUTED_VALUE"""),0.38135416666666666)</f>
        <v>0.3813541667</v>
      </c>
      <c r="K551" s="9">
        <f t="shared" si="1"/>
        <v>6</v>
      </c>
      <c r="L551" s="7">
        <f>IFERROR(__xludf.DUMMYFUNCTION("SPLIT(C551,""T""""Z"")"),44798.0)</f>
        <v>44798</v>
      </c>
      <c r="M551" s="8">
        <f>IFERROR(__xludf.DUMMYFUNCTION("""COMPUTED_VALUE"""),0.5691898148148148)</f>
        <v>0.5691898148</v>
      </c>
      <c r="N551" s="10">
        <f t="shared" si="2"/>
        <v>133.6605556</v>
      </c>
      <c r="O551" s="11">
        <f t="shared" si="3"/>
        <v>0.3826947912</v>
      </c>
    </row>
    <row r="552">
      <c r="A552" s="1" t="s">
        <v>1683</v>
      </c>
      <c r="B552" s="1" t="s">
        <v>1684</v>
      </c>
      <c r="C552" s="1" t="s">
        <v>1685</v>
      </c>
      <c r="D552" s="1">
        <v>1.0</v>
      </c>
      <c r="E552" s="1" t="s">
        <v>95</v>
      </c>
      <c r="F552" s="1">
        <v>111.0</v>
      </c>
      <c r="G552" s="1">
        <v>2361.0</v>
      </c>
      <c r="H552" s="1">
        <v>2237.0</v>
      </c>
      <c r="I552" s="7">
        <f>IFERROR(__xludf.DUMMYFUNCTION("SPLIT(B552,""T""""Z"")"),43137.0)</f>
        <v>43137</v>
      </c>
      <c r="J552" s="8">
        <f>IFERROR(__xludf.DUMMYFUNCTION("""COMPUTED_VALUE"""),0.1348148148148148)</f>
        <v>0.1348148148</v>
      </c>
      <c r="K552" s="9">
        <f t="shared" si="1"/>
        <v>4</v>
      </c>
      <c r="L552" s="7">
        <f>IFERROR(__xludf.DUMMYFUNCTION("SPLIT(C552,""T""""Z"")"),44798.0)</f>
        <v>44798</v>
      </c>
      <c r="M552" s="8">
        <f>IFERROR(__xludf.DUMMYFUNCTION("""COMPUTED_VALUE"""),0.5827314814814815)</f>
        <v>0.5827314815</v>
      </c>
      <c r="N552" s="10">
        <f t="shared" si="2"/>
        <v>133.9855556</v>
      </c>
      <c r="O552" s="11">
        <f t="shared" si="3"/>
        <v>0.9474798814</v>
      </c>
    </row>
    <row r="553">
      <c r="A553" s="1" t="s">
        <v>1686</v>
      </c>
      <c r="B553" s="1" t="s">
        <v>1687</v>
      </c>
      <c r="C553" s="1" t="s">
        <v>1688</v>
      </c>
      <c r="D553" s="1">
        <v>10.0</v>
      </c>
      <c r="E553" s="1" t="s">
        <v>48</v>
      </c>
      <c r="F553" s="1">
        <v>717.0</v>
      </c>
      <c r="G553" s="1">
        <v>1878.0</v>
      </c>
      <c r="H553" s="1">
        <v>1391.0</v>
      </c>
      <c r="I553" s="7">
        <f>IFERROR(__xludf.DUMMYFUNCTION("SPLIT(B553,""T""""Z"")"),41701.0)</f>
        <v>41701</v>
      </c>
      <c r="J553" s="8">
        <f>IFERROR(__xludf.DUMMYFUNCTION("""COMPUTED_VALUE"""),0.7038888888888889)</f>
        <v>0.7038888889</v>
      </c>
      <c r="K553" s="9">
        <f t="shared" si="1"/>
        <v>8</v>
      </c>
      <c r="L553" s="7">
        <f>IFERROR(__xludf.DUMMYFUNCTION("SPLIT(C553,""T""""Z"")"),44798.0)</f>
        <v>44798</v>
      </c>
      <c r="M553" s="8">
        <f>IFERROR(__xludf.DUMMYFUNCTION("""COMPUTED_VALUE"""),0.5922569444444444)</f>
        <v>0.5922569444</v>
      </c>
      <c r="N553" s="10">
        <f t="shared" si="2"/>
        <v>134.2141667</v>
      </c>
      <c r="O553" s="11">
        <f t="shared" si="3"/>
        <v>0.7406815761</v>
      </c>
    </row>
    <row r="554">
      <c r="A554" s="1" t="s">
        <v>1689</v>
      </c>
      <c r="B554" s="1" t="s">
        <v>1690</v>
      </c>
      <c r="C554" s="1" t="s">
        <v>1691</v>
      </c>
      <c r="D554" s="1">
        <v>16.0</v>
      </c>
      <c r="E554" s="1" t="s">
        <v>48</v>
      </c>
      <c r="F554" s="1">
        <v>1485.0</v>
      </c>
      <c r="G554" s="1">
        <v>2840.0</v>
      </c>
      <c r="H554" s="1">
        <v>2694.0</v>
      </c>
      <c r="I554" s="7">
        <f>IFERROR(__xludf.DUMMYFUNCTION("SPLIT(B554,""T""""Z"")"),40478.0)</f>
        <v>40478</v>
      </c>
      <c r="J554" s="8">
        <f>IFERROR(__xludf.DUMMYFUNCTION("""COMPUTED_VALUE"""),0.4469444444444444)</f>
        <v>0.4469444444</v>
      </c>
      <c r="K554" s="9">
        <f t="shared" si="1"/>
        <v>11</v>
      </c>
      <c r="L554" s="7">
        <f>IFERROR(__xludf.DUMMYFUNCTION("SPLIT(C554,""T""""Z"")"),44798.0)</f>
        <v>44798</v>
      </c>
      <c r="M554" s="8">
        <f>IFERROR(__xludf.DUMMYFUNCTION("""COMPUTED_VALUE"""),0.44354166666666667)</f>
        <v>0.4435416667</v>
      </c>
      <c r="N554" s="10">
        <f t="shared" si="2"/>
        <v>130.645</v>
      </c>
      <c r="O554" s="11">
        <f t="shared" si="3"/>
        <v>0.9485915493</v>
      </c>
    </row>
    <row r="555">
      <c r="A555" s="1" t="s">
        <v>1692</v>
      </c>
      <c r="B555" s="1" t="s">
        <v>1693</v>
      </c>
      <c r="C555" s="1" t="s">
        <v>1694</v>
      </c>
      <c r="D555" s="1">
        <v>0.0</v>
      </c>
      <c r="E555" s="1" t="s">
        <v>909</v>
      </c>
      <c r="F555" s="1">
        <v>51.0</v>
      </c>
      <c r="G555" s="1">
        <v>24.0</v>
      </c>
      <c r="H555" s="1">
        <v>16.0</v>
      </c>
      <c r="I555" s="7">
        <f>IFERROR(__xludf.DUMMYFUNCTION("SPLIT(B555,""T""""Z"")"),42311.0)</f>
        <v>42311</v>
      </c>
      <c r="J555" s="8">
        <f>IFERROR(__xludf.DUMMYFUNCTION("""COMPUTED_VALUE"""),0.41030092592592593)</f>
        <v>0.4103009259</v>
      </c>
      <c r="K555" s="9">
        <f t="shared" si="1"/>
        <v>6</v>
      </c>
      <c r="L555" s="7">
        <f>IFERROR(__xludf.DUMMYFUNCTION("SPLIT(C555,""T""""Z"")"),44798.0)</f>
        <v>44798</v>
      </c>
      <c r="M555" s="8">
        <f>IFERROR(__xludf.DUMMYFUNCTION("""COMPUTED_VALUE"""),0.45157407407407407)</f>
        <v>0.4515740741</v>
      </c>
      <c r="N555" s="10">
        <f t="shared" si="2"/>
        <v>130.8377778</v>
      </c>
      <c r="O555" s="11">
        <f t="shared" si="3"/>
        <v>0.6666666667</v>
      </c>
    </row>
    <row r="556">
      <c r="A556" s="1" t="s">
        <v>1695</v>
      </c>
      <c r="B556" s="1" t="s">
        <v>1696</v>
      </c>
      <c r="C556" s="1" t="s">
        <v>1697</v>
      </c>
      <c r="D556" s="1">
        <v>15.0</v>
      </c>
      <c r="E556" s="1" t="s">
        <v>52</v>
      </c>
      <c r="F556" s="1">
        <v>159.0</v>
      </c>
      <c r="G556" s="1">
        <v>1807.0</v>
      </c>
      <c r="H556" s="1">
        <v>1635.0</v>
      </c>
      <c r="I556" s="7">
        <f>IFERROR(__xludf.DUMMYFUNCTION("SPLIT(B556,""T""""Z"")"),42849.0)</f>
        <v>42849</v>
      </c>
      <c r="J556" s="8">
        <f>IFERROR(__xludf.DUMMYFUNCTION("""COMPUTED_VALUE"""),0.5878587962962963)</f>
        <v>0.5878587963</v>
      </c>
      <c r="K556" s="9">
        <f t="shared" si="1"/>
        <v>5</v>
      </c>
      <c r="L556" s="7">
        <f>IFERROR(__xludf.DUMMYFUNCTION("SPLIT(C556,""T""""Z"")"),44798.0)</f>
        <v>44798</v>
      </c>
      <c r="M556" s="8">
        <f>IFERROR(__xludf.DUMMYFUNCTION("""COMPUTED_VALUE"""),0.574212962962963)</f>
        <v>0.574212963</v>
      </c>
      <c r="N556" s="10">
        <f t="shared" si="2"/>
        <v>133.7811111</v>
      </c>
      <c r="O556" s="11">
        <f t="shared" si="3"/>
        <v>0.9048146099</v>
      </c>
    </row>
    <row r="557">
      <c r="A557" s="1" t="s">
        <v>1698</v>
      </c>
      <c r="B557" s="1" t="s">
        <v>1699</v>
      </c>
      <c r="C557" s="1" t="s">
        <v>1700</v>
      </c>
      <c r="D557" s="1">
        <v>0.0</v>
      </c>
      <c r="E557" s="1" t="s">
        <v>621</v>
      </c>
      <c r="F557" s="1">
        <v>56.0</v>
      </c>
      <c r="G557" s="1">
        <v>551.0</v>
      </c>
      <c r="H557" s="1">
        <v>432.0</v>
      </c>
      <c r="I557" s="7">
        <f>IFERROR(__xludf.DUMMYFUNCTION("SPLIT(B557,""T""""Z"")"),42416.0)</f>
        <v>42416</v>
      </c>
      <c r="J557" s="8">
        <f>IFERROR(__xludf.DUMMYFUNCTION("""COMPUTED_VALUE"""),0.8254513888888889)</f>
        <v>0.8254513889</v>
      </c>
      <c r="K557" s="9">
        <f t="shared" si="1"/>
        <v>6</v>
      </c>
      <c r="L557" s="7">
        <f>IFERROR(__xludf.DUMMYFUNCTION("SPLIT(C557,""T""""Z"")"),44798.0)</f>
        <v>44798</v>
      </c>
      <c r="M557" s="8">
        <f>IFERROR(__xludf.DUMMYFUNCTION("""COMPUTED_VALUE"""),0.40534722222222225)</f>
        <v>0.4053472222</v>
      </c>
      <c r="N557" s="10">
        <f t="shared" si="2"/>
        <v>129.7283333</v>
      </c>
      <c r="O557" s="11">
        <f t="shared" si="3"/>
        <v>0.7840290381</v>
      </c>
    </row>
    <row r="558">
      <c r="A558" s="1" t="s">
        <v>1701</v>
      </c>
      <c r="B558" s="1" t="s">
        <v>1702</v>
      </c>
      <c r="C558" s="1" t="s">
        <v>1703</v>
      </c>
      <c r="D558" s="1">
        <v>0.0</v>
      </c>
      <c r="E558" s="1" t="s">
        <v>621</v>
      </c>
      <c r="F558" s="1">
        <v>240.0</v>
      </c>
      <c r="G558" s="1">
        <v>236.0</v>
      </c>
      <c r="H558" s="1">
        <v>88.0</v>
      </c>
      <c r="I558" s="7">
        <f>IFERROR(__xludf.DUMMYFUNCTION("SPLIT(B558,""T""""Z"")"),41288.0)</f>
        <v>41288</v>
      </c>
      <c r="J558" s="8">
        <f>IFERROR(__xludf.DUMMYFUNCTION("""COMPUTED_VALUE"""),0.6572685185185185)</f>
        <v>0.6572685185</v>
      </c>
      <c r="K558" s="9">
        <f t="shared" si="1"/>
        <v>9</v>
      </c>
      <c r="L558" s="7">
        <f>IFERROR(__xludf.DUMMYFUNCTION("SPLIT(C558,""T""""Z"")"),44798.0)</f>
        <v>44798</v>
      </c>
      <c r="M558" s="8">
        <f>IFERROR(__xludf.DUMMYFUNCTION("""COMPUTED_VALUE"""),0.4763310185185185)</f>
        <v>0.4763310185</v>
      </c>
      <c r="N558" s="10">
        <f t="shared" si="2"/>
        <v>131.4319444</v>
      </c>
      <c r="O558" s="11">
        <f t="shared" si="3"/>
        <v>0.3728813559</v>
      </c>
    </row>
    <row r="559">
      <c r="A559" s="1" t="s">
        <v>1704</v>
      </c>
      <c r="B559" s="1" t="s">
        <v>1705</v>
      </c>
      <c r="C559" s="1" t="s">
        <v>1706</v>
      </c>
      <c r="D559" s="1">
        <v>0.0</v>
      </c>
      <c r="E559" s="1" t="s">
        <v>95</v>
      </c>
      <c r="F559" s="1">
        <v>1.0</v>
      </c>
      <c r="G559" s="1">
        <v>246.0</v>
      </c>
      <c r="H559" s="1">
        <v>93.0</v>
      </c>
      <c r="I559" s="7">
        <f>IFERROR(__xludf.DUMMYFUNCTION("SPLIT(B559,""T""""Z"")"),43104.0)</f>
        <v>43104</v>
      </c>
      <c r="J559" s="8">
        <f>IFERROR(__xludf.DUMMYFUNCTION("""COMPUTED_VALUE"""),0.37350694444444443)</f>
        <v>0.3735069444</v>
      </c>
      <c r="K559" s="9">
        <f t="shared" si="1"/>
        <v>4</v>
      </c>
      <c r="L559" s="7">
        <f>IFERROR(__xludf.DUMMYFUNCTION("SPLIT(C559,""T""""Z"")"),44798.0)</f>
        <v>44798</v>
      </c>
      <c r="M559" s="8">
        <f>IFERROR(__xludf.DUMMYFUNCTION("""COMPUTED_VALUE"""),0.581099537037037)</f>
        <v>0.581099537</v>
      </c>
      <c r="N559" s="10">
        <f t="shared" si="2"/>
        <v>133.9463889</v>
      </c>
      <c r="O559" s="11">
        <f t="shared" si="3"/>
        <v>0.3780487805</v>
      </c>
    </row>
    <row r="560">
      <c r="A560" s="1" t="s">
        <v>1707</v>
      </c>
      <c r="B560" s="1" t="s">
        <v>1708</v>
      </c>
      <c r="C560" s="1" t="s">
        <v>1709</v>
      </c>
      <c r="D560" s="1">
        <v>0.0</v>
      </c>
      <c r="E560" s="1" t="s">
        <v>621</v>
      </c>
      <c r="F560" s="1">
        <v>28.0</v>
      </c>
      <c r="G560" s="1">
        <v>843.0</v>
      </c>
      <c r="H560" s="1">
        <v>256.0</v>
      </c>
      <c r="I560" s="7">
        <f>IFERROR(__xludf.DUMMYFUNCTION("SPLIT(B560,""T""""Z"")"),43377.0)</f>
        <v>43377</v>
      </c>
      <c r="J560" s="8">
        <f>IFERROR(__xludf.DUMMYFUNCTION("""COMPUTED_VALUE"""),0.7797222222222222)</f>
        <v>0.7797222222</v>
      </c>
      <c r="K560" s="9">
        <f t="shared" si="1"/>
        <v>3</v>
      </c>
      <c r="L560" s="7">
        <f>IFERROR(__xludf.DUMMYFUNCTION("SPLIT(C560,""T""""Z"")"),44798.0)</f>
        <v>44798</v>
      </c>
      <c r="M560" s="8">
        <f>IFERROR(__xludf.DUMMYFUNCTION("""COMPUTED_VALUE"""),0.5980671296296296)</f>
        <v>0.5980671296</v>
      </c>
      <c r="N560" s="10">
        <f t="shared" si="2"/>
        <v>134.3536111</v>
      </c>
      <c r="O560" s="11">
        <f t="shared" si="3"/>
        <v>0.3036773428</v>
      </c>
    </row>
    <row r="561">
      <c r="A561" s="1" t="s">
        <v>1710</v>
      </c>
      <c r="B561" s="1" t="s">
        <v>1711</v>
      </c>
      <c r="C561" s="1" t="s">
        <v>575</v>
      </c>
      <c r="D561" s="1">
        <v>231.0</v>
      </c>
      <c r="E561" s="1" t="s">
        <v>48</v>
      </c>
      <c r="F561" s="1">
        <v>2089.0</v>
      </c>
      <c r="G561" s="1">
        <v>1507.0</v>
      </c>
      <c r="H561" s="1">
        <v>1464.0</v>
      </c>
      <c r="I561" s="7">
        <f>IFERROR(__xludf.DUMMYFUNCTION("SPLIT(B561,""T""""Z"")"),42641.0)</f>
        <v>42641</v>
      </c>
      <c r="J561" s="8">
        <f>IFERROR(__xludf.DUMMYFUNCTION("""COMPUTED_VALUE"""),0.7987731481481481)</f>
        <v>0.7987731481</v>
      </c>
      <c r="K561" s="9">
        <f t="shared" si="1"/>
        <v>5</v>
      </c>
      <c r="L561" s="7">
        <f>IFERROR(__xludf.DUMMYFUNCTION("SPLIT(C561,""T""""Z"")"),44798.0)</f>
        <v>44798</v>
      </c>
      <c r="M561" s="8">
        <f>IFERROR(__xludf.DUMMYFUNCTION("""COMPUTED_VALUE"""),0.6073958333333334)</f>
        <v>0.6073958333</v>
      </c>
      <c r="N561" s="10">
        <f t="shared" si="2"/>
        <v>134.5775</v>
      </c>
      <c r="O561" s="11">
        <f t="shared" si="3"/>
        <v>0.9714664897</v>
      </c>
    </row>
    <row r="562">
      <c r="A562" s="1" t="s">
        <v>1712</v>
      </c>
      <c r="B562" s="1" t="s">
        <v>1713</v>
      </c>
      <c r="C562" s="1" t="s">
        <v>1714</v>
      </c>
      <c r="D562" s="1">
        <v>49.0</v>
      </c>
      <c r="E562" s="1" t="s">
        <v>48</v>
      </c>
      <c r="F562" s="1">
        <v>1912.0</v>
      </c>
      <c r="G562" s="1">
        <v>9645.0</v>
      </c>
      <c r="H562" s="1">
        <v>9345.0</v>
      </c>
      <c r="I562" s="7">
        <f>IFERROR(__xludf.DUMMYFUNCTION("SPLIT(B562,""T""""Z"")"),40274.0)</f>
        <v>40274</v>
      </c>
      <c r="J562" s="8">
        <f>IFERROR(__xludf.DUMMYFUNCTION("""COMPUTED_VALUE"""),0.9021412037037037)</f>
        <v>0.9021412037</v>
      </c>
      <c r="K562" s="9">
        <f t="shared" si="1"/>
        <v>12</v>
      </c>
      <c r="L562" s="7">
        <f>IFERROR(__xludf.DUMMYFUNCTION("SPLIT(C562,""T""""Z"")"),44798.0)</f>
        <v>44798</v>
      </c>
      <c r="M562" s="8">
        <f>IFERROR(__xludf.DUMMYFUNCTION("""COMPUTED_VALUE"""),0.39295138888888886)</f>
        <v>0.3929513889</v>
      </c>
      <c r="N562" s="10">
        <f t="shared" si="2"/>
        <v>129.4308333</v>
      </c>
      <c r="O562" s="11">
        <f t="shared" si="3"/>
        <v>0.9688958009</v>
      </c>
    </row>
    <row r="563">
      <c r="A563" s="1" t="s">
        <v>1715</v>
      </c>
      <c r="B563" s="1" t="s">
        <v>1716</v>
      </c>
      <c r="C563" s="1" t="s">
        <v>1717</v>
      </c>
      <c r="D563" s="1">
        <v>53.0</v>
      </c>
      <c r="E563" s="1" t="s">
        <v>48</v>
      </c>
      <c r="F563" s="1">
        <v>139.0</v>
      </c>
      <c r="G563" s="1">
        <v>3420.0</v>
      </c>
      <c r="H563" s="1">
        <v>2436.0</v>
      </c>
      <c r="I563" s="7">
        <f>IFERROR(__xludf.DUMMYFUNCTION("SPLIT(B563,""T""""Z"")"),41928.0)</f>
        <v>41928</v>
      </c>
      <c r="J563" s="8">
        <f>IFERROR(__xludf.DUMMYFUNCTION("""COMPUTED_VALUE"""),0.7702777777777777)</f>
        <v>0.7702777778</v>
      </c>
      <c r="K563" s="9">
        <f t="shared" si="1"/>
        <v>7</v>
      </c>
      <c r="L563" s="7">
        <f>IFERROR(__xludf.DUMMYFUNCTION("SPLIT(C563,""T""""Z"")"),44798.0)</f>
        <v>44798</v>
      </c>
      <c r="M563" s="8">
        <f>IFERROR(__xludf.DUMMYFUNCTION("""COMPUTED_VALUE"""),0.13600694444444444)</f>
        <v>0.1360069444</v>
      </c>
      <c r="N563" s="10">
        <f t="shared" si="2"/>
        <v>123.2641667</v>
      </c>
      <c r="O563" s="11">
        <f t="shared" si="3"/>
        <v>0.7122807018</v>
      </c>
    </row>
    <row r="564">
      <c r="A564" s="1" t="s">
        <v>1718</v>
      </c>
      <c r="B564" s="1" t="s">
        <v>1719</v>
      </c>
      <c r="C564" s="1" t="s">
        <v>1720</v>
      </c>
      <c r="D564" s="1">
        <v>134.0</v>
      </c>
      <c r="E564" s="1" t="s">
        <v>124</v>
      </c>
      <c r="F564" s="1">
        <v>5843.0</v>
      </c>
      <c r="G564" s="1">
        <v>7814.0</v>
      </c>
      <c r="H564" s="1">
        <v>7065.0</v>
      </c>
      <c r="I564" s="7">
        <f>IFERROR(__xludf.DUMMYFUNCTION("SPLIT(B564,""T""""Z"")"),42475.0)</f>
        <v>42475</v>
      </c>
      <c r="J564" s="8">
        <f>IFERROR(__xludf.DUMMYFUNCTION("""COMPUTED_VALUE"""),0.9434606481481481)</f>
        <v>0.9434606481</v>
      </c>
      <c r="K564" s="9">
        <f t="shared" si="1"/>
        <v>6</v>
      </c>
      <c r="L564" s="7">
        <f>IFERROR(__xludf.DUMMYFUNCTION("SPLIT(C564,""T""""Z"")"),44798.0)</f>
        <v>44798</v>
      </c>
      <c r="M564" s="8">
        <f>IFERROR(__xludf.DUMMYFUNCTION("""COMPUTED_VALUE"""),0.5952662037037038)</f>
        <v>0.5952662037</v>
      </c>
      <c r="N564" s="10">
        <f t="shared" si="2"/>
        <v>134.2863889</v>
      </c>
      <c r="O564" s="11">
        <f t="shared" si="3"/>
        <v>0.9041464039</v>
      </c>
    </row>
    <row r="565">
      <c r="A565" s="1" t="s">
        <v>1721</v>
      </c>
      <c r="B565" s="1" t="s">
        <v>1722</v>
      </c>
      <c r="C565" s="1" t="s">
        <v>1723</v>
      </c>
      <c r="D565" s="1">
        <v>7.0</v>
      </c>
      <c r="E565" s="1" t="s">
        <v>48</v>
      </c>
      <c r="F565" s="1">
        <v>34.0</v>
      </c>
      <c r="G565" s="1">
        <v>146.0</v>
      </c>
      <c r="H565" s="1">
        <v>49.0</v>
      </c>
      <c r="I565" s="7">
        <f>IFERROR(__xludf.DUMMYFUNCTION("SPLIT(B565,""T""""Z"")"),41506.0)</f>
        <v>41506</v>
      </c>
      <c r="J565" s="8">
        <f>IFERROR(__xludf.DUMMYFUNCTION("""COMPUTED_VALUE"""),0.5819675925925926)</f>
        <v>0.5819675926</v>
      </c>
      <c r="K565" s="9">
        <f t="shared" si="1"/>
        <v>9</v>
      </c>
      <c r="L565" s="7">
        <f>IFERROR(__xludf.DUMMYFUNCTION("SPLIT(C565,""T""""Z"")"),44798.0)</f>
        <v>44798</v>
      </c>
      <c r="M565" s="8">
        <f>IFERROR(__xludf.DUMMYFUNCTION("""COMPUTED_VALUE"""),0.5573263888888889)</f>
        <v>0.5573263889</v>
      </c>
      <c r="N565" s="10">
        <f t="shared" si="2"/>
        <v>133.3758333</v>
      </c>
      <c r="O565" s="11">
        <f t="shared" si="3"/>
        <v>0.3356164384</v>
      </c>
    </row>
    <row r="566">
      <c r="A566" s="1" t="s">
        <v>1724</v>
      </c>
      <c r="B566" s="1" t="s">
        <v>1725</v>
      </c>
      <c r="C566" s="1" t="s">
        <v>1726</v>
      </c>
      <c r="D566" s="1">
        <v>0.0</v>
      </c>
      <c r="E566" s="13" t="s">
        <v>22</v>
      </c>
      <c r="F566" s="1">
        <v>288.0</v>
      </c>
      <c r="G566" s="1">
        <v>47.0</v>
      </c>
      <c r="H566" s="1">
        <v>19.0</v>
      </c>
      <c r="I566" s="7">
        <f>IFERROR(__xludf.DUMMYFUNCTION("SPLIT(B566,""T""""Z"")"),41827.0)</f>
        <v>41827</v>
      </c>
      <c r="J566" s="8">
        <f>IFERROR(__xludf.DUMMYFUNCTION("""COMPUTED_VALUE"""),0.0817361111111111)</f>
        <v>0.08173611111</v>
      </c>
      <c r="K566" s="9">
        <f t="shared" si="1"/>
        <v>8</v>
      </c>
      <c r="L566" s="7">
        <f>IFERROR(__xludf.DUMMYFUNCTION("SPLIT(C566,""T""""Z"")"),44798.0)</f>
        <v>44798</v>
      </c>
      <c r="M566" s="8">
        <f>IFERROR(__xludf.DUMMYFUNCTION("""COMPUTED_VALUE"""),0.5616782407407407)</f>
        <v>0.5616782407</v>
      </c>
      <c r="N566" s="12">
        <f t="shared" si="2"/>
        <v>133.4802778</v>
      </c>
      <c r="O566" s="11">
        <f t="shared" si="3"/>
        <v>0.4042553191</v>
      </c>
    </row>
    <row r="567">
      <c r="A567" s="1" t="s">
        <v>1727</v>
      </c>
      <c r="B567" s="1" t="s">
        <v>1728</v>
      </c>
      <c r="C567" s="1" t="s">
        <v>1729</v>
      </c>
      <c r="D567" s="1">
        <v>3.0</v>
      </c>
      <c r="E567" s="1" t="s">
        <v>996</v>
      </c>
      <c r="F567" s="1">
        <v>67.0</v>
      </c>
      <c r="G567" s="1">
        <v>339.0</v>
      </c>
      <c r="H567" s="1">
        <v>201.0</v>
      </c>
      <c r="I567" s="7">
        <f>IFERROR(__xludf.DUMMYFUNCTION("SPLIT(B567,""T""""Z"")"),42141.0)</f>
        <v>42141</v>
      </c>
      <c r="J567" s="8">
        <f>IFERROR(__xludf.DUMMYFUNCTION("""COMPUTED_VALUE"""),0.31197916666666664)</f>
        <v>0.3119791667</v>
      </c>
      <c r="K567" s="9">
        <f t="shared" si="1"/>
        <v>7</v>
      </c>
      <c r="L567" s="7">
        <f>IFERROR(__xludf.DUMMYFUNCTION("SPLIT(C567,""T""""Z"")"),44798.0)</f>
        <v>44798</v>
      </c>
      <c r="M567" s="8">
        <f>IFERROR(__xludf.DUMMYFUNCTION("""COMPUTED_VALUE"""),0.49524305555555553)</f>
        <v>0.4952430556</v>
      </c>
      <c r="N567" s="10">
        <f t="shared" si="2"/>
        <v>131.8858333</v>
      </c>
      <c r="O567" s="11">
        <f t="shared" si="3"/>
        <v>0.592920354</v>
      </c>
    </row>
    <row r="568">
      <c r="A568" s="1" t="s">
        <v>1730</v>
      </c>
      <c r="B568" s="1" t="s">
        <v>1731</v>
      </c>
      <c r="C568" s="1" t="s">
        <v>1732</v>
      </c>
      <c r="D568" s="1">
        <v>0.0</v>
      </c>
      <c r="E568" s="1" t="s">
        <v>38</v>
      </c>
      <c r="F568" s="1">
        <v>28.0</v>
      </c>
      <c r="G568" s="1">
        <v>175.0</v>
      </c>
      <c r="H568" s="1">
        <v>112.0</v>
      </c>
      <c r="I568" s="7">
        <f>IFERROR(__xludf.DUMMYFUNCTION("SPLIT(B568,""T""""Z"")"),42804.0)</f>
        <v>42804</v>
      </c>
      <c r="J568" s="8">
        <f>IFERROR(__xludf.DUMMYFUNCTION("""COMPUTED_VALUE"""),0.32068287037037035)</f>
        <v>0.3206828704</v>
      </c>
      <c r="K568" s="9">
        <f t="shared" si="1"/>
        <v>5</v>
      </c>
      <c r="L568" s="7">
        <f>IFERROR(__xludf.DUMMYFUNCTION("SPLIT(C568,""T""""Z"")"),44798.0)</f>
        <v>44798</v>
      </c>
      <c r="M568" s="8">
        <f>IFERROR(__xludf.DUMMYFUNCTION("""COMPUTED_VALUE"""),0.5529513888888888)</f>
        <v>0.5529513889</v>
      </c>
      <c r="N568" s="10">
        <f t="shared" si="2"/>
        <v>133.2708333</v>
      </c>
      <c r="O568" s="11">
        <f t="shared" si="3"/>
        <v>0.64</v>
      </c>
    </row>
    <row r="569">
      <c r="A569" s="1" t="s">
        <v>1733</v>
      </c>
      <c r="B569" s="1" t="s">
        <v>1734</v>
      </c>
      <c r="C569" s="1" t="s">
        <v>1735</v>
      </c>
      <c r="D569" s="1">
        <v>7.0</v>
      </c>
      <c r="E569" s="1" t="s">
        <v>38</v>
      </c>
      <c r="F569" s="1">
        <v>139.0</v>
      </c>
      <c r="G569" s="1">
        <v>4743.0</v>
      </c>
      <c r="H569" s="1">
        <v>4693.0</v>
      </c>
      <c r="I569" s="7">
        <f>IFERROR(__xludf.DUMMYFUNCTION("SPLIT(B569,""T""""Z"")"),41086.0)</f>
        <v>41086</v>
      </c>
      <c r="J569" s="8">
        <f>IFERROR(__xludf.DUMMYFUNCTION("""COMPUTED_VALUE"""),0.41128472222222223)</f>
        <v>0.4112847222</v>
      </c>
      <c r="K569" s="9">
        <f t="shared" si="1"/>
        <v>10</v>
      </c>
      <c r="L569" s="7">
        <f>IFERROR(__xludf.DUMMYFUNCTION("SPLIT(C569,""T""""Z"")"),44798.0)</f>
        <v>44798</v>
      </c>
      <c r="M569" s="8">
        <f>IFERROR(__xludf.DUMMYFUNCTION("""COMPUTED_VALUE"""),0.5935648148148148)</f>
        <v>0.5935648148</v>
      </c>
      <c r="N569" s="10">
        <f t="shared" si="2"/>
        <v>134.2455556</v>
      </c>
      <c r="O569" s="11">
        <f t="shared" si="3"/>
        <v>0.9894581489</v>
      </c>
    </row>
    <row r="570">
      <c r="A570" s="1" t="s">
        <v>1736</v>
      </c>
      <c r="B570" s="1" t="s">
        <v>1737</v>
      </c>
      <c r="C570" s="1" t="s">
        <v>1738</v>
      </c>
      <c r="D570" s="1">
        <v>76.0</v>
      </c>
      <c r="E570" s="1" t="s">
        <v>95</v>
      </c>
      <c r="F570" s="1">
        <v>1049.0</v>
      </c>
      <c r="G570" s="1">
        <v>8315.0</v>
      </c>
      <c r="H570" s="1">
        <v>8227.0</v>
      </c>
      <c r="I570" s="7">
        <f>IFERROR(__xludf.DUMMYFUNCTION("SPLIT(B570,""T""""Z"")"),41288.0)</f>
        <v>41288</v>
      </c>
      <c r="J570" s="8">
        <f>IFERROR(__xludf.DUMMYFUNCTION("""COMPUTED_VALUE"""),0.903425925925926)</f>
        <v>0.9034259259</v>
      </c>
      <c r="K570" s="9">
        <f t="shared" si="1"/>
        <v>9</v>
      </c>
      <c r="L570" s="7">
        <f>IFERROR(__xludf.DUMMYFUNCTION("SPLIT(C570,""T""""Z"")"),44798.0)</f>
        <v>44798</v>
      </c>
      <c r="M570" s="8">
        <f>IFERROR(__xludf.DUMMYFUNCTION("""COMPUTED_VALUE"""),0.5617592592592593)</f>
        <v>0.5617592593</v>
      </c>
      <c r="N570" s="10">
        <f t="shared" si="2"/>
        <v>133.4822222</v>
      </c>
      <c r="O570" s="11">
        <f t="shared" si="3"/>
        <v>0.9894167168</v>
      </c>
    </row>
    <row r="571">
      <c r="A571" s="1" t="s">
        <v>1739</v>
      </c>
      <c r="B571" s="1" t="s">
        <v>1740</v>
      </c>
      <c r="C571" s="1" t="s">
        <v>1741</v>
      </c>
      <c r="D571" s="1">
        <v>85.0</v>
      </c>
      <c r="E571" s="1" t="s">
        <v>48</v>
      </c>
      <c r="F571" s="1">
        <v>293.0</v>
      </c>
      <c r="G571" s="1">
        <v>1557.0</v>
      </c>
      <c r="H571" s="1">
        <v>1551.0</v>
      </c>
      <c r="I571" s="7">
        <f>IFERROR(__xludf.DUMMYFUNCTION("SPLIT(B571,""T""""Z"")"),40454.0)</f>
        <v>40454</v>
      </c>
      <c r="J571" s="8">
        <f>IFERROR(__xludf.DUMMYFUNCTION("""COMPUTED_VALUE"""),0.5353240740740741)</f>
        <v>0.5353240741</v>
      </c>
      <c r="K571" s="9">
        <f t="shared" si="1"/>
        <v>11</v>
      </c>
      <c r="L571" s="7">
        <f>IFERROR(__xludf.DUMMYFUNCTION("SPLIT(C571,""T""""Z"")"),44798.0)</f>
        <v>44798</v>
      </c>
      <c r="M571" s="8">
        <f>IFERROR(__xludf.DUMMYFUNCTION("""COMPUTED_VALUE"""),0.5878472222222222)</f>
        <v>0.5878472222</v>
      </c>
      <c r="N571" s="10">
        <f t="shared" si="2"/>
        <v>134.1083333</v>
      </c>
      <c r="O571" s="11">
        <f t="shared" si="3"/>
        <v>0.9961464355</v>
      </c>
    </row>
    <row r="572">
      <c r="A572" s="1" t="s">
        <v>1742</v>
      </c>
      <c r="B572" s="1" t="s">
        <v>1743</v>
      </c>
      <c r="C572" s="1" t="s">
        <v>1744</v>
      </c>
      <c r="D572" s="1">
        <v>111.0</v>
      </c>
      <c r="E572" s="1" t="s">
        <v>953</v>
      </c>
      <c r="F572" s="1">
        <v>820.0</v>
      </c>
      <c r="G572" s="1">
        <v>2128.0</v>
      </c>
      <c r="H572" s="1">
        <v>2093.0</v>
      </c>
      <c r="I572" s="7">
        <f>IFERROR(__xludf.DUMMYFUNCTION("SPLIT(B572,""T""""Z"")"),40077.0)</f>
        <v>40077</v>
      </c>
      <c r="J572" s="8">
        <f>IFERROR(__xludf.DUMMYFUNCTION("""COMPUTED_VALUE"""),0.7356365740740741)</f>
        <v>0.7356365741</v>
      </c>
      <c r="K572" s="9">
        <f t="shared" si="1"/>
        <v>12</v>
      </c>
      <c r="L572" s="7">
        <f>IFERROR(__xludf.DUMMYFUNCTION("SPLIT(C572,""T""""Z"")"),44798.0)</f>
        <v>44798</v>
      </c>
      <c r="M572" s="8">
        <f>IFERROR(__xludf.DUMMYFUNCTION("""COMPUTED_VALUE"""),0.39795138888888887)</f>
        <v>0.3979513889</v>
      </c>
      <c r="N572" s="10">
        <f t="shared" si="2"/>
        <v>129.5508333</v>
      </c>
      <c r="O572" s="11">
        <f t="shared" si="3"/>
        <v>0.9835526316</v>
      </c>
    </row>
    <row r="573">
      <c r="A573" s="1" t="s">
        <v>1745</v>
      </c>
      <c r="B573" s="1" t="s">
        <v>1746</v>
      </c>
      <c r="C573" s="1" t="s">
        <v>1747</v>
      </c>
      <c r="D573" s="1">
        <v>46.0</v>
      </c>
      <c r="E573" s="1" t="s">
        <v>48</v>
      </c>
      <c r="F573" s="1">
        <v>1482.0</v>
      </c>
      <c r="G573" s="1">
        <v>1455.0</v>
      </c>
      <c r="H573" s="1">
        <v>1174.0</v>
      </c>
      <c r="I573" s="7">
        <f>IFERROR(__xludf.DUMMYFUNCTION("SPLIT(B573,""T""""Z"")"),43563.0)</f>
        <v>43563</v>
      </c>
      <c r="J573" s="8">
        <f>IFERROR(__xludf.DUMMYFUNCTION("""COMPUTED_VALUE"""),0.6919560185185185)</f>
        <v>0.6919560185</v>
      </c>
      <c r="K573" s="9">
        <f t="shared" si="1"/>
        <v>3</v>
      </c>
      <c r="L573" s="7">
        <f>IFERROR(__xludf.DUMMYFUNCTION("SPLIT(C573,""T""""Z"")"),44798.0)</f>
        <v>44798</v>
      </c>
      <c r="M573" s="8">
        <f>IFERROR(__xludf.DUMMYFUNCTION("""COMPUTED_VALUE"""),0.5904861111111112)</f>
        <v>0.5904861111</v>
      </c>
      <c r="N573" s="10">
        <f t="shared" si="2"/>
        <v>134.1716667</v>
      </c>
      <c r="O573" s="11">
        <f t="shared" si="3"/>
        <v>0.8068728522</v>
      </c>
    </row>
    <row r="574">
      <c r="A574" s="1" t="s">
        <v>1748</v>
      </c>
      <c r="B574" s="1" t="s">
        <v>1749</v>
      </c>
      <c r="C574" s="1" t="s">
        <v>1750</v>
      </c>
      <c r="D574" s="1">
        <v>29.0</v>
      </c>
      <c r="E574" s="1" t="s">
        <v>161</v>
      </c>
      <c r="F574" s="1">
        <v>354.0</v>
      </c>
      <c r="G574" s="1">
        <v>644.0</v>
      </c>
      <c r="H574" s="1">
        <v>579.0</v>
      </c>
      <c r="I574" s="7">
        <f>IFERROR(__xludf.DUMMYFUNCTION("SPLIT(B574,""T""""Z"")"),42864.0)</f>
        <v>42864</v>
      </c>
      <c r="J574" s="8">
        <f>IFERROR(__xludf.DUMMYFUNCTION("""COMPUTED_VALUE"""),0.8938657407407408)</f>
        <v>0.8938657407</v>
      </c>
      <c r="K574" s="9">
        <f t="shared" si="1"/>
        <v>5</v>
      </c>
      <c r="L574" s="7">
        <f>IFERROR(__xludf.DUMMYFUNCTION("SPLIT(C574,""T""""Z"")"),44798.0)</f>
        <v>44798</v>
      </c>
      <c r="M574" s="8">
        <f>IFERROR(__xludf.DUMMYFUNCTION("""COMPUTED_VALUE"""),0.5678356481481481)</f>
        <v>0.5678356481</v>
      </c>
      <c r="N574" s="10">
        <f t="shared" si="2"/>
        <v>133.6280556</v>
      </c>
      <c r="O574" s="11">
        <f t="shared" si="3"/>
        <v>0.899068323</v>
      </c>
    </row>
    <row r="575">
      <c r="A575" s="1" t="s">
        <v>1751</v>
      </c>
      <c r="B575" s="1" t="s">
        <v>1752</v>
      </c>
      <c r="C575" s="1" t="s">
        <v>1753</v>
      </c>
      <c r="D575" s="1">
        <v>1.0</v>
      </c>
      <c r="E575" s="1" t="s">
        <v>439</v>
      </c>
      <c r="F575" s="1">
        <v>2507.0</v>
      </c>
      <c r="G575" s="1">
        <v>9177.0</v>
      </c>
      <c r="H575" s="1">
        <v>8542.0</v>
      </c>
      <c r="I575" s="7">
        <f>IFERROR(__xludf.DUMMYFUNCTION("SPLIT(B575,""T""""Z"")"),40199.0)</f>
        <v>40199</v>
      </c>
      <c r="J575" s="8">
        <f>IFERROR(__xludf.DUMMYFUNCTION("""COMPUTED_VALUE"""),0.35725694444444445)</f>
        <v>0.3572569444</v>
      </c>
      <c r="K575" s="9">
        <f t="shared" si="1"/>
        <v>12</v>
      </c>
      <c r="L575" s="7">
        <f>IFERROR(__xludf.DUMMYFUNCTION("SPLIT(C575,""T""""Z"")"),44798.0)</f>
        <v>44798</v>
      </c>
      <c r="M575" s="8">
        <f>IFERROR(__xludf.DUMMYFUNCTION("""COMPUTED_VALUE"""),0.32601851851851854)</f>
        <v>0.3260185185</v>
      </c>
      <c r="N575" s="10">
        <f t="shared" si="2"/>
        <v>127.8244444</v>
      </c>
      <c r="O575" s="11">
        <f t="shared" si="3"/>
        <v>0.9308052741</v>
      </c>
    </row>
    <row r="576">
      <c r="A576" s="1" t="s">
        <v>1754</v>
      </c>
      <c r="B576" s="1" t="s">
        <v>1755</v>
      </c>
      <c r="C576" s="1" t="s">
        <v>1756</v>
      </c>
      <c r="D576" s="1">
        <v>0.0</v>
      </c>
      <c r="E576" s="1" t="s">
        <v>38</v>
      </c>
      <c r="F576" s="1">
        <v>716.0</v>
      </c>
      <c r="G576" s="1">
        <v>3124.0</v>
      </c>
      <c r="H576" s="1">
        <v>3115.0</v>
      </c>
      <c r="I576" s="7">
        <f>IFERROR(__xludf.DUMMYFUNCTION("SPLIT(B576,""T""""Z"")"),41015.0)</f>
        <v>41015</v>
      </c>
      <c r="J576" s="8">
        <f>IFERROR(__xludf.DUMMYFUNCTION("""COMPUTED_VALUE"""),0.13349537037037038)</f>
        <v>0.1334953704</v>
      </c>
      <c r="K576" s="9">
        <f t="shared" si="1"/>
        <v>10</v>
      </c>
      <c r="L576" s="7">
        <f>IFERROR(__xludf.DUMMYFUNCTION("SPLIT(C576,""T""""Z"")"),44798.0)</f>
        <v>44798</v>
      </c>
      <c r="M576" s="8">
        <f>IFERROR(__xludf.DUMMYFUNCTION("""COMPUTED_VALUE"""),0.4988310185185185)</f>
        <v>0.4988310185</v>
      </c>
      <c r="N576" s="10">
        <f t="shared" si="2"/>
        <v>131.9719444</v>
      </c>
      <c r="O576" s="11">
        <f t="shared" si="3"/>
        <v>0.9971190781</v>
      </c>
    </row>
    <row r="577">
      <c r="A577" s="1" t="s">
        <v>1757</v>
      </c>
      <c r="B577" s="1" t="s">
        <v>1758</v>
      </c>
      <c r="C577" s="1" t="s">
        <v>1759</v>
      </c>
      <c r="D577" s="1">
        <v>0.0</v>
      </c>
      <c r="E577" s="1" t="s">
        <v>18</v>
      </c>
      <c r="F577" s="1">
        <v>2076.0</v>
      </c>
      <c r="G577" s="1">
        <v>718.0</v>
      </c>
      <c r="H577" s="1">
        <v>602.0</v>
      </c>
      <c r="I577" s="7">
        <f>IFERROR(__xludf.DUMMYFUNCTION("SPLIT(B577,""T""""Z"")"),43638.0)</f>
        <v>43638</v>
      </c>
      <c r="J577" s="8">
        <f>IFERROR(__xludf.DUMMYFUNCTION("""COMPUTED_VALUE"""),0.3919097222222222)</f>
        <v>0.3919097222</v>
      </c>
      <c r="K577" s="9">
        <f t="shared" si="1"/>
        <v>3</v>
      </c>
      <c r="L577" s="7">
        <f>IFERROR(__xludf.DUMMYFUNCTION("SPLIT(C577,""T""""Z"")"),44798.0)</f>
        <v>44798</v>
      </c>
      <c r="M577" s="8">
        <f>IFERROR(__xludf.DUMMYFUNCTION("""COMPUTED_VALUE"""),0.6029282407407407)</f>
        <v>0.6029282407</v>
      </c>
      <c r="N577" s="10">
        <f t="shared" si="2"/>
        <v>134.4702778</v>
      </c>
      <c r="O577" s="11">
        <f t="shared" si="3"/>
        <v>0.8384401114</v>
      </c>
    </row>
    <row r="578">
      <c r="A578" s="1" t="s">
        <v>1760</v>
      </c>
      <c r="B578" s="1" t="s">
        <v>1761</v>
      </c>
      <c r="C578" s="1" t="s">
        <v>1762</v>
      </c>
      <c r="D578" s="1">
        <v>6.0</v>
      </c>
      <c r="E578" s="1" t="s">
        <v>38</v>
      </c>
      <c r="F578" s="1">
        <v>1839.0</v>
      </c>
      <c r="G578" s="1">
        <v>5122.0</v>
      </c>
      <c r="H578" s="1">
        <v>3771.0</v>
      </c>
      <c r="I578" s="7">
        <f>IFERROR(__xludf.DUMMYFUNCTION("SPLIT(B578,""T""""Z"")"),43959.0)</f>
        <v>43959</v>
      </c>
      <c r="J578" s="8">
        <f>IFERROR(__xludf.DUMMYFUNCTION("""COMPUTED_VALUE"""),0.44324074074074077)</f>
        <v>0.4432407407</v>
      </c>
      <c r="K578" s="9">
        <f t="shared" si="1"/>
        <v>2</v>
      </c>
      <c r="L578" s="7">
        <f>IFERROR(__xludf.DUMMYFUNCTION("SPLIT(C578,""T""""Z"")"),44798.0)</f>
        <v>44798</v>
      </c>
      <c r="M578" s="8">
        <f>IFERROR(__xludf.DUMMYFUNCTION("""COMPUTED_VALUE"""),0.46501157407407406)</f>
        <v>0.4650115741</v>
      </c>
      <c r="N578" s="10">
        <f t="shared" si="2"/>
        <v>131.1602778</v>
      </c>
      <c r="O578" s="11">
        <f t="shared" si="3"/>
        <v>0.7362358454</v>
      </c>
    </row>
    <row r="579">
      <c r="A579" s="1" t="s">
        <v>1763</v>
      </c>
      <c r="B579" s="1" t="s">
        <v>1764</v>
      </c>
      <c r="C579" s="1" t="s">
        <v>1765</v>
      </c>
      <c r="D579" s="1">
        <v>1.0</v>
      </c>
      <c r="E579" s="1" t="s">
        <v>68</v>
      </c>
      <c r="F579" s="1">
        <v>165.0</v>
      </c>
      <c r="G579" s="1">
        <v>195.0</v>
      </c>
      <c r="H579" s="1">
        <v>69.0</v>
      </c>
      <c r="I579" s="7">
        <f>IFERROR(__xludf.DUMMYFUNCTION("SPLIT(B579,""T""""Z"")"),43125.0)</f>
        <v>43125</v>
      </c>
      <c r="J579" s="8">
        <f>IFERROR(__xludf.DUMMYFUNCTION("""COMPUTED_VALUE"""),0.15733796296296296)</f>
        <v>0.157337963</v>
      </c>
      <c r="K579" s="9">
        <f t="shared" si="1"/>
        <v>4</v>
      </c>
      <c r="L579" s="7">
        <f>IFERROR(__xludf.DUMMYFUNCTION("SPLIT(C579,""T""""Z"")"),44798.0)</f>
        <v>44798</v>
      </c>
      <c r="M579" s="8">
        <f>IFERROR(__xludf.DUMMYFUNCTION("""COMPUTED_VALUE"""),0.47854166666666664)</f>
        <v>0.4785416667</v>
      </c>
      <c r="N579" s="10">
        <f t="shared" si="2"/>
        <v>131.485</v>
      </c>
      <c r="O579" s="11">
        <f t="shared" si="3"/>
        <v>0.3538461538</v>
      </c>
    </row>
    <row r="580">
      <c r="A580" s="1" t="s">
        <v>1766</v>
      </c>
      <c r="B580" s="1" t="s">
        <v>1767</v>
      </c>
      <c r="C580" s="1" t="s">
        <v>1768</v>
      </c>
      <c r="D580" s="1">
        <v>4.0</v>
      </c>
      <c r="E580" s="1" t="s">
        <v>48</v>
      </c>
      <c r="F580" s="1">
        <v>453.0</v>
      </c>
      <c r="G580" s="1">
        <v>1134.0</v>
      </c>
      <c r="H580" s="1">
        <v>715.0</v>
      </c>
      <c r="I580" s="7">
        <f>IFERROR(__xludf.DUMMYFUNCTION("SPLIT(B580,""T""""Z"")"),42311.0)</f>
        <v>42311</v>
      </c>
      <c r="J580" s="8">
        <f>IFERROR(__xludf.DUMMYFUNCTION("""COMPUTED_VALUE"""),0.033414351851851855)</f>
        <v>0.03341435185</v>
      </c>
      <c r="K580" s="9">
        <f t="shared" si="1"/>
        <v>6</v>
      </c>
      <c r="L580" s="7">
        <f>IFERROR(__xludf.DUMMYFUNCTION("SPLIT(C580,""T""""Z"")"),44798.0)</f>
        <v>44798</v>
      </c>
      <c r="M580" s="8">
        <f>IFERROR(__xludf.DUMMYFUNCTION("""COMPUTED_VALUE"""),0.5962731481481481)</f>
        <v>0.5962731481</v>
      </c>
      <c r="N580" s="10">
        <f t="shared" si="2"/>
        <v>134.3105556</v>
      </c>
      <c r="O580" s="11">
        <f t="shared" si="3"/>
        <v>0.6305114638</v>
      </c>
    </row>
    <row r="581">
      <c r="A581" s="1" t="s">
        <v>1769</v>
      </c>
      <c r="B581" s="1" t="s">
        <v>1770</v>
      </c>
      <c r="C581" s="1" t="s">
        <v>1771</v>
      </c>
      <c r="D581" s="1">
        <v>0.0</v>
      </c>
      <c r="E581" s="1" t="s">
        <v>95</v>
      </c>
      <c r="F581" s="1">
        <v>1.0</v>
      </c>
      <c r="G581" s="1">
        <v>40.0</v>
      </c>
      <c r="H581" s="1">
        <v>27.0</v>
      </c>
      <c r="I581" s="7">
        <f>IFERROR(__xludf.DUMMYFUNCTION("SPLIT(B581,""T""""Z"")"),43222.0)</f>
        <v>43222</v>
      </c>
      <c r="J581" s="8">
        <f>IFERROR(__xludf.DUMMYFUNCTION("""COMPUTED_VALUE"""),0.11717592592592592)</f>
        <v>0.1171759259</v>
      </c>
      <c r="K581" s="9">
        <f t="shared" si="1"/>
        <v>4</v>
      </c>
      <c r="L581" s="7">
        <f>IFERROR(__xludf.DUMMYFUNCTION("SPLIT(C581,""T""""Z"")"),44798.0)</f>
        <v>44798</v>
      </c>
      <c r="M581" s="8">
        <f>IFERROR(__xludf.DUMMYFUNCTION("""COMPUTED_VALUE"""),0.5930555555555556)</f>
        <v>0.5930555556</v>
      </c>
      <c r="N581" s="10">
        <f t="shared" si="2"/>
        <v>134.2333333</v>
      </c>
      <c r="O581" s="11">
        <f t="shared" si="3"/>
        <v>0.675</v>
      </c>
    </row>
    <row r="582">
      <c r="A582" s="1" t="s">
        <v>1772</v>
      </c>
      <c r="B582" s="1" t="s">
        <v>1773</v>
      </c>
      <c r="C582" s="1" t="s">
        <v>1774</v>
      </c>
      <c r="D582" s="1">
        <v>7.0</v>
      </c>
      <c r="E582" s="1" t="s">
        <v>95</v>
      </c>
      <c r="F582" s="1">
        <v>31.0</v>
      </c>
      <c r="G582" s="1">
        <v>568.0</v>
      </c>
      <c r="H582" s="1">
        <v>464.0</v>
      </c>
      <c r="I582" s="7">
        <f>IFERROR(__xludf.DUMMYFUNCTION("SPLIT(B582,""T""""Z"")"),41106.0)</f>
        <v>41106</v>
      </c>
      <c r="J582" s="8">
        <f>IFERROR(__xludf.DUMMYFUNCTION("""COMPUTED_VALUE"""),0.705324074074074)</f>
        <v>0.7053240741</v>
      </c>
      <c r="K582" s="9">
        <f t="shared" si="1"/>
        <v>10</v>
      </c>
      <c r="L582" s="7">
        <f>IFERROR(__xludf.DUMMYFUNCTION("SPLIT(C582,""T""""Z"")"),44798.0)</f>
        <v>44798</v>
      </c>
      <c r="M582" s="8">
        <f>IFERROR(__xludf.DUMMYFUNCTION("""COMPUTED_VALUE"""),0.277037037037037)</f>
        <v>0.277037037</v>
      </c>
      <c r="N582" s="10">
        <f t="shared" si="2"/>
        <v>126.6488889</v>
      </c>
      <c r="O582" s="11">
        <f t="shared" si="3"/>
        <v>0.8169014085</v>
      </c>
    </row>
    <row r="583">
      <c r="A583" s="1" t="s">
        <v>1775</v>
      </c>
      <c r="B583" s="1" t="s">
        <v>1776</v>
      </c>
      <c r="C583" s="1" t="s">
        <v>1777</v>
      </c>
      <c r="D583" s="1">
        <v>0.0</v>
      </c>
      <c r="E583" s="13" t="s">
        <v>22</v>
      </c>
      <c r="F583" s="1">
        <v>331.0</v>
      </c>
      <c r="G583" s="1">
        <v>424.0</v>
      </c>
      <c r="H583" s="1">
        <v>361.0</v>
      </c>
      <c r="I583" s="7">
        <f>IFERROR(__xludf.DUMMYFUNCTION("SPLIT(B583,""T""""Z"")"),41849.0)</f>
        <v>41849</v>
      </c>
      <c r="J583" s="8">
        <f>IFERROR(__xludf.DUMMYFUNCTION("""COMPUTED_VALUE"""),0.005451388888888889)</f>
        <v>0.005451388889</v>
      </c>
      <c r="K583" s="9">
        <f t="shared" si="1"/>
        <v>8</v>
      </c>
      <c r="L583" s="7">
        <f>IFERROR(__xludf.DUMMYFUNCTION("SPLIT(C583,""T""""Z"")"),44798.0)</f>
        <v>44798</v>
      </c>
      <c r="M583" s="8">
        <f>IFERROR(__xludf.DUMMYFUNCTION("""COMPUTED_VALUE"""),0.23613425925925927)</f>
        <v>0.2361342593</v>
      </c>
      <c r="N583" s="12">
        <f t="shared" si="2"/>
        <v>125.6672222</v>
      </c>
      <c r="O583" s="11">
        <f t="shared" si="3"/>
        <v>0.8514150943</v>
      </c>
    </row>
    <row r="584">
      <c r="A584" s="1" t="s">
        <v>1778</v>
      </c>
      <c r="B584" s="1" t="s">
        <v>1779</v>
      </c>
      <c r="C584" s="1" t="s">
        <v>1780</v>
      </c>
      <c r="D584" s="1">
        <v>100.0</v>
      </c>
      <c r="E584" s="1" t="s">
        <v>38</v>
      </c>
      <c r="F584" s="1">
        <v>2922.0</v>
      </c>
      <c r="G584" s="1">
        <v>5201.0</v>
      </c>
      <c r="H584" s="1">
        <v>5129.0</v>
      </c>
      <c r="I584" s="7">
        <f>IFERROR(__xludf.DUMMYFUNCTION("SPLIT(B584,""T""""Z"")"),41823.0)</f>
        <v>41823</v>
      </c>
      <c r="J584" s="8">
        <f>IFERROR(__xludf.DUMMYFUNCTION("""COMPUTED_VALUE"""),0.6358796296296296)</f>
        <v>0.6358796296</v>
      </c>
      <c r="K584" s="9">
        <f t="shared" si="1"/>
        <v>8</v>
      </c>
      <c r="L584" s="7">
        <f>IFERROR(__xludf.DUMMYFUNCTION("SPLIT(C584,""T""""Z"")"),44798.0)</f>
        <v>44798</v>
      </c>
      <c r="M584" s="8">
        <f>IFERROR(__xludf.DUMMYFUNCTION("""COMPUTED_VALUE"""),0.5980902777777778)</f>
        <v>0.5980902778</v>
      </c>
      <c r="N584" s="10">
        <f t="shared" si="2"/>
        <v>134.3541667</v>
      </c>
      <c r="O584" s="11">
        <f t="shared" si="3"/>
        <v>0.9861565084</v>
      </c>
    </row>
    <row r="585">
      <c r="A585" s="1" t="s">
        <v>1781</v>
      </c>
      <c r="B585" s="1" t="s">
        <v>1782</v>
      </c>
      <c r="C585" s="1" t="s">
        <v>1783</v>
      </c>
      <c r="D585" s="1">
        <v>0.0</v>
      </c>
      <c r="E585" s="1" t="s">
        <v>88</v>
      </c>
      <c r="F585" s="1">
        <v>399.0</v>
      </c>
      <c r="G585" s="1">
        <v>811.0</v>
      </c>
      <c r="H585" s="1">
        <v>405.0</v>
      </c>
      <c r="I585" s="7">
        <f>IFERROR(__xludf.DUMMYFUNCTION("SPLIT(B585,""T""""Z"")"),40866.0)</f>
        <v>40866</v>
      </c>
      <c r="J585" s="8">
        <f>IFERROR(__xludf.DUMMYFUNCTION("""COMPUTED_VALUE"""),0.8269328703703703)</f>
        <v>0.8269328704</v>
      </c>
      <c r="K585" s="9">
        <f t="shared" si="1"/>
        <v>10</v>
      </c>
      <c r="L585" s="7">
        <f>IFERROR(__xludf.DUMMYFUNCTION("SPLIT(C585,""T""""Z"")"),44798.0)</f>
        <v>44798</v>
      </c>
      <c r="M585" s="8">
        <f>IFERROR(__xludf.DUMMYFUNCTION("""COMPUTED_VALUE"""),0.254212962962963)</f>
        <v>0.254212963</v>
      </c>
      <c r="N585" s="10">
        <f t="shared" si="2"/>
        <v>126.1011111</v>
      </c>
      <c r="O585" s="11">
        <f t="shared" si="3"/>
        <v>0.4993834772</v>
      </c>
    </row>
    <row r="586">
      <c r="A586" s="1" t="s">
        <v>1784</v>
      </c>
      <c r="B586" s="1" t="s">
        <v>1785</v>
      </c>
      <c r="C586" s="1" t="s">
        <v>1786</v>
      </c>
      <c r="D586" s="1">
        <v>0.0</v>
      </c>
      <c r="E586" s="1" t="s">
        <v>52</v>
      </c>
      <c r="F586" s="1">
        <v>42.0</v>
      </c>
      <c r="G586" s="1">
        <v>163.0</v>
      </c>
      <c r="H586" s="1">
        <v>156.0</v>
      </c>
      <c r="I586" s="7">
        <f>IFERROR(__xludf.DUMMYFUNCTION("SPLIT(B586,""T""""Z"")"),43660.0)</f>
        <v>43660</v>
      </c>
      <c r="J586" s="8">
        <f>IFERROR(__xludf.DUMMYFUNCTION("""COMPUTED_VALUE"""),0.3651041666666667)</f>
        <v>0.3651041667</v>
      </c>
      <c r="K586" s="9">
        <f t="shared" si="1"/>
        <v>3</v>
      </c>
      <c r="L586" s="7">
        <f>IFERROR(__xludf.DUMMYFUNCTION("SPLIT(C586,""T""""Z"")"),44798.0)</f>
        <v>44798</v>
      </c>
      <c r="M586" s="8">
        <f>IFERROR(__xludf.DUMMYFUNCTION("""COMPUTED_VALUE"""),0.6108101851851852)</f>
        <v>0.6108101852</v>
      </c>
      <c r="N586" s="10">
        <f t="shared" si="2"/>
        <v>134.6594444</v>
      </c>
      <c r="O586" s="11">
        <f t="shared" si="3"/>
        <v>0.9570552147</v>
      </c>
    </row>
    <row r="587">
      <c r="A587" s="1" t="s">
        <v>1787</v>
      </c>
      <c r="B587" s="1" t="s">
        <v>1788</v>
      </c>
      <c r="C587" s="1" t="s">
        <v>1789</v>
      </c>
      <c r="D587" s="1">
        <v>72.0</v>
      </c>
      <c r="E587" s="1" t="s">
        <v>124</v>
      </c>
      <c r="F587" s="1">
        <v>9367.0</v>
      </c>
      <c r="G587" s="1">
        <v>12542.0</v>
      </c>
      <c r="H587" s="1">
        <v>11021.0</v>
      </c>
      <c r="I587" s="7">
        <f>IFERROR(__xludf.DUMMYFUNCTION("SPLIT(B587,""T""""Z"")"),41543.0)</f>
        <v>41543</v>
      </c>
      <c r="J587" s="8">
        <f>IFERROR(__xludf.DUMMYFUNCTION("""COMPUTED_VALUE"""),0.6049768518518519)</f>
        <v>0.6049768519</v>
      </c>
      <c r="K587" s="9">
        <f t="shared" si="1"/>
        <v>8</v>
      </c>
      <c r="L587" s="7">
        <f>IFERROR(__xludf.DUMMYFUNCTION("SPLIT(C587,""T""""Z"")"),44798.0)</f>
        <v>44798</v>
      </c>
      <c r="M587" s="8">
        <f>IFERROR(__xludf.DUMMYFUNCTION("""COMPUTED_VALUE"""),0.5349421296296296)</f>
        <v>0.5349421296</v>
      </c>
      <c r="N587" s="10">
        <f t="shared" si="2"/>
        <v>132.8386111</v>
      </c>
      <c r="O587" s="11">
        <f t="shared" si="3"/>
        <v>0.8787274757</v>
      </c>
    </row>
    <row r="588">
      <c r="A588" s="1" t="s">
        <v>1790</v>
      </c>
      <c r="B588" s="1" t="s">
        <v>1791</v>
      </c>
      <c r="C588" s="1" t="s">
        <v>1792</v>
      </c>
      <c r="D588" s="1">
        <v>14.0</v>
      </c>
      <c r="E588" s="1" t="s">
        <v>38</v>
      </c>
      <c r="F588" s="1">
        <v>2721.0</v>
      </c>
      <c r="G588" s="1">
        <v>3756.0</v>
      </c>
      <c r="H588" s="1">
        <v>3658.0</v>
      </c>
      <c r="I588" s="7">
        <f>IFERROR(__xludf.DUMMYFUNCTION("SPLIT(B588,""T""""Z"")"),40604.0)</f>
        <v>40604</v>
      </c>
      <c r="J588" s="8">
        <f>IFERROR(__xludf.DUMMYFUNCTION("""COMPUTED_VALUE"""),0.7180092592592593)</f>
        <v>0.7180092593</v>
      </c>
      <c r="K588" s="9">
        <f t="shared" si="1"/>
        <v>11</v>
      </c>
      <c r="L588" s="7">
        <f>IFERROR(__xludf.DUMMYFUNCTION("SPLIT(C588,""T""""Z"")"),44798.0)</f>
        <v>44798</v>
      </c>
      <c r="M588" s="8">
        <f>IFERROR(__xludf.DUMMYFUNCTION("""COMPUTED_VALUE"""),0.5409953703703704)</f>
        <v>0.5409953704</v>
      </c>
      <c r="N588" s="10">
        <f t="shared" si="2"/>
        <v>132.9838889</v>
      </c>
      <c r="O588" s="11">
        <f t="shared" si="3"/>
        <v>0.9739084132</v>
      </c>
    </row>
    <row r="589">
      <c r="A589" s="1" t="s">
        <v>1793</v>
      </c>
      <c r="B589" s="1" t="s">
        <v>1794</v>
      </c>
      <c r="C589" s="1" t="s">
        <v>1795</v>
      </c>
      <c r="D589" s="1">
        <v>85.0</v>
      </c>
      <c r="E589" s="1" t="s">
        <v>186</v>
      </c>
      <c r="F589" s="1">
        <v>526.0</v>
      </c>
      <c r="G589" s="1">
        <v>5569.0</v>
      </c>
      <c r="H589" s="1">
        <v>4464.0</v>
      </c>
      <c r="I589" s="7">
        <f>IFERROR(__xludf.DUMMYFUNCTION("SPLIT(B589,""T""""Z"")"),42579.0)</f>
        <v>42579</v>
      </c>
      <c r="J589" s="8">
        <f>IFERROR(__xludf.DUMMYFUNCTION("""COMPUTED_VALUE"""),0.07846064814814815)</f>
        <v>0.07846064815</v>
      </c>
      <c r="K589" s="9">
        <f t="shared" si="1"/>
        <v>6</v>
      </c>
      <c r="L589" s="7">
        <f>IFERROR(__xludf.DUMMYFUNCTION("SPLIT(C589,""T""""Z"")"),44798.0)</f>
        <v>44798</v>
      </c>
      <c r="M589" s="8">
        <f>IFERROR(__xludf.DUMMYFUNCTION("""COMPUTED_VALUE"""),0.4113773148148148)</f>
        <v>0.4113773148</v>
      </c>
      <c r="N589" s="10">
        <f t="shared" si="2"/>
        <v>129.8730556</v>
      </c>
      <c r="O589" s="11">
        <f t="shared" si="3"/>
        <v>0.801580176</v>
      </c>
    </row>
    <row r="590">
      <c r="A590" s="1" t="s">
        <v>1796</v>
      </c>
      <c r="B590" s="1" t="s">
        <v>1797</v>
      </c>
      <c r="C590" s="1" t="s">
        <v>1798</v>
      </c>
      <c r="D590" s="1">
        <v>30.0</v>
      </c>
      <c r="E590" s="1" t="s">
        <v>52</v>
      </c>
      <c r="F590" s="1">
        <v>357.0</v>
      </c>
      <c r="G590" s="1">
        <v>2156.0</v>
      </c>
      <c r="H590" s="1">
        <v>2140.0</v>
      </c>
      <c r="I590" s="7">
        <f>IFERROR(__xludf.DUMMYFUNCTION("SPLIT(B590,""T""""Z"")"),41464.0)</f>
        <v>41464</v>
      </c>
      <c r="J590" s="8">
        <f>IFERROR(__xludf.DUMMYFUNCTION("""COMPUTED_VALUE"""),0.3224768518518519)</f>
        <v>0.3224768519</v>
      </c>
      <c r="K590" s="9">
        <f t="shared" si="1"/>
        <v>9</v>
      </c>
      <c r="L590" s="7">
        <f>IFERROR(__xludf.DUMMYFUNCTION("SPLIT(C590,""T""""Z"")"),44798.0)</f>
        <v>44798</v>
      </c>
      <c r="M590" s="8">
        <f>IFERROR(__xludf.DUMMYFUNCTION("""COMPUTED_VALUE"""),0.4889351851851852)</f>
        <v>0.4889351852</v>
      </c>
      <c r="N590" s="10">
        <f t="shared" si="2"/>
        <v>131.7344444</v>
      </c>
      <c r="O590" s="11">
        <f t="shared" si="3"/>
        <v>0.9925788497</v>
      </c>
    </row>
    <row r="591">
      <c r="A591" s="1" t="s">
        <v>1799</v>
      </c>
      <c r="B591" s="1" t="s">
        <v>1800</v>
      </c>
      <c r="C591" s="1" t="s">
        <v>1801</v>
      </c>
      <c r="D591" s="1">
        <v>24.0</v>
      </c>
      <c r="E591" s="1" t="s">
        <v>95</v>
      </c>
      <c r="F591" s="1">
        <v>396.0</v>
      </c>
      <c r="G591" s="1">
        <v>3765.0</v>
      </c>
      <c r="H591" s="1">
        <v>2931.0</v>
      </c>
      <c r="I591" s="7">
        <f>IFERROR(__xludf.DUMMYFUNCTION("SPLIT(B591,""T""""Z"")"),41287.0)</f>
        <v>41287</v>
      </c>
      <c r="J591" s="8">
        <f>IFERROR(__xludf.DUMMYFUNCTION("""COMPUTED_VALUE"""),0.4582407407407407)</f>
        <v>0.4582407407</v>
      </c>
      <c r="K591" s="9">
        <f t="shared" si="1"/>
        <v>9</v>
      </c>
      <c r="L591" s="7">
        <f>IFERROR(__xludf.DUMMYFUNCTION("SPLIT(C591,""T""""Z"")"),44798.0)</f>
        <v>44798</v>
      </c>
      <c r="M591" s="8">
        <f>IFERROR(__xludf.DUMMYFUNCTION("""COMPUTED_VALUE"""),0.4515972222222222)</f>
        <v>0.4515972222</v>
      </c>
      <c r="N591" s="10">
        <f t="shared" si="2"/>
        <v>130.8383333</v>
      </c>
      <c r="O591" s="11">
        <f t="shared" si="3"/>
        <v>0.7784860558</v>
      </c>
    </row>
    <row r="592">
      <c r="A592" s="1" t="s">
        <v>1802</v>
      </c>
      <c r="B592" s="1" t="s">
        <v>1803</v>
      </c>
      <c r="C592" s="1" t="s">
        <v>1804</v>
      </c>
      <c r="D592" s="1">
        <v>0.0</v>
      </c>
      <c r="E592" s="1" t="s">
        <v>986</v>
      </c>
      <c r="F592" s="1">
        <v>39.0</v>
      </c>
      <c r="G592" s="1">
        <v>26.0</v>
      </c>
      <c r="H592" s="1">
        <v>11.0</v>
      </c>
      <c r="I592" s="7">
        <f>IFERROR(__xludf.DUMMYFUNCTION("SPLIT(B592,""T""""Z"")"),42524.0)</f>
        <v>42524</v>
      </c>
      <c r="J592" s="8">
        <f>IFERROR(__xludf.DUMMYFUNCTION("""COMPUTED_VALUE"""),0.28368055555555555)</f>
        <v>0.2836805556</v>
      </c>
      <c r="K592" s="9">
        <f t="shared" si="1"/>
        <v>6</v>
      </c>
      <c r="L592" s="7">
        <f>IFERROR(__xludf.DUMMYFUNCTION("SPLIT(C592,""T""""Z"")"),44798.0)</f>
        <v>44798</v>
      </c>
      <c r="M592" s="8">
        <f>IFERROR(__xludf.DUMMYFUNCTION("""COMPUTED_VALUE"""),0.5541550925925925)</f>
        <v>0.5541550926</v>
      </c>
      <c r="N592" s="10">
        <f t="shared" si="2"/>
        <v>133.2997222</v>
      </c>
      <c r="O592" s="11">
        <f t="shared" si="3"/>
        <v>0.4230769231</v>
      </c>
    </row>
    <row r="593">
      <c r="A593" s="1" t="s">
        <v>1805</v>
      </c>
      <c r="B593" s="1" t="s">
        <v>1806</v>
      </c>
      <c r="C593" s="1" t="s">
        <v>1807</v>
      </c>
      <c r="D593" s="1">
        <v>67.0</v>
      </c>
      <c r="E593" s="1" t="s">
        <v>193</v>
      </c>
      <c r="F593" s="1">
        <v>2824.0</v>
      </c>
      <c r="G593" s="1">
        <v>6520.0</v>
      </c>
      <c r="H593" s="1">
        <v>5865.0</v>
      </c>
      <c r="I593" s="7">
        <f>IFERROR(__xludf.DUMMYFUNCTION("SPLIT(B593,""T""""Z"")"),43469.0)</f>
        <v>43469</v>
      </c>
      <c r="J593" s="8">
        <f>IFERROR(__xludf.DUMMYFUNCTION("""COMPUTED_VALUE"""),0.7633564814814815)</f>
        <v>0.7633564815</v>
      </c>
      <c r="K593" s="9">
        <f t="shared" si="1"/>
        <v>3</v>
      </c>
      <c r="L593" s="7">
        <f>IFERROR(__xludf.DUMMYFUNCTION("SPLIT(C593,""T""""Z"")"),44798.0)</f>
        <v>44798</v>
      </c>
      <c r="M593" s="8">
        <f>IFERROR(__xludf.DUMMYFUNCTION("""COMPUTED_VALUE"""),0.5999305555555555)</f>
        <v>0.5999305556</v>
      </c>
      <c r="N593" s="10">
        <f t="shared" si="2"/>
        <v>134.3983333</v>
      </c>
      <c r="O593" s="11">
        <f t="shared" si="3"/>
        <v>0.8995398773</v>
      </c>
    </row>
    <row r="594">
      <c r="A594" s="1" t="s">
        <v>1808</v>
      </c>
      <c r="B594" s="1" t="s">
        <v>1809</v>
      </c>
      <c r="C594" s="1" t="s">
        <v>1810</v>
      </c>
      <c r="D594" s="1">
        <v>38.0</v>
      </c>
      <c r="E594" s="1" t="s">
        <v>18</v>
      </c>
      <c r="F594" s="1">
        <v>311.0</v>
      </c>
      <c r="G594" s="1">
        <v>1101.0</v>
      </c>
      <c r="H594" s="1">
        <v>1039.0</v>
      </c>
      <c r="I594" s="7">
        <f>IFERROR(__xludf.DUMMYFUNCTION("SPLIT(B594,""T""""Z"")"),43166.0)</f>
        <v>43166</v>
      </c>
      <c r="J594" s="8">
        <f>IFERROR(__xludf.DUMMYFUNCTION("""COMPUTED_VALUE"""),0.6524537037037037)</f>
        <v>0.6524537037</v>
      </c>
      <c r="K594" s="9">
        <f t="shared" si="1"/>
        <v>4</v>
      </c>
      <c r="L594" s="7">
        <f>IFERROR(__xludf.DUMMYFUNCTION("SPLIT(C594,""T""""Z"")"),44798.0)</f>
        <v>44798</v>
      </c>
      <c r="M594" s="8">
        <f>IFERROR(__xludf.DUMMYFUNCTION("""COMPUTED_VALUE"""),0.5398495370370371)</f>
        <v>0.539849537</v>
      </c>
      <c r="N594" s="10">
        <f t="shared" si="2"/>
        <v>132.9563889</v>
      </c>
      <c r="O594" s="11">
        <f t="shared" si="3"/>
        <v>0.9436875568</v>
      </c>
    </row>
    <row r="595">
      <c r="A595" s="1" t="s">
        <v>1811</v>
      </c>
      <c r="B595" s="1" t="s">
        <v>1812</v>
      </c>
      <c r="C595" s="1" t="s">
        <v>1813</v>
      </c>
      <c r="D595" s="1">
        <v>4.0</v>
      </c>
      <c r="E595" s="1" t="s">
        <v>347</v>
      </c>
      <c r="F595" s="1">
        <v>12.0</v>
      </c>
      <c r="G595" s="1">
        <v>1034.0</v>
      </c>
      <c r="H595" s="1">
        <v>606.0</v>
      </c>
      <c r="I595" s="7">
        <f>IFERROR(__xludf.DUMMYFUNCTION("SPLIT(B595,""T""""Z"")"),42567.0)</f>
        <v>42567</v>
      </c>
      <c r="J595" s="8">
        <f>IFERROR(__xludf.DUMMYFUNCTION("""COMPUTED_VALUE"""),0.5685416666666666)</f>
        <v>0.5685416667</v>
      </c>
      <c r="K595" s="9">
        <f t="shared" si="1"/>
        <v>6</v>
      </c>
      <c r="L595" s="7">
        <f>IFERROR(__xludf.DUMMYFUNCTION("SPLIT(C595,""T""""Z"")"),44798.0)</f>
        <v>44798</v>
      </c>
      <c r="M595" s="8">
        <f>IFERROR(__xludf.DUMMYFUNCTION("""COMPUTED_VALUE"""),0.4643055555555556)</f>
        <v>0.4643055556</v>
      </c>
      <c r="N595" s="10">
        <f t="shared" si="2"/>
        <v>131.1433333</v>
      </c>
      <c r="O595" s="11">
        <f t="shared" si="3"/>
        <v>0.586073501</v>
      </c>
    </row>
    <row r="596">
      <c r="A596" s="1" t="s">
        <v>1814</v>
      </c>
      <c r="B596" s="1" t="s">
        <v>1815</v>
      </c>
      <c r="C596" s="1" t="s">
        <v>1816</v>
      </c>
      <c r="D596" s="1">
        <v>18.0</v>
      </c>
      <c r="E596" s="1" t="s">
        <v>18</v>
      </c>
      <c r="F596" s="1">
        <v>334.0</v>
      </c>
      <c r="G596" s="1">
        <v>1703.0</v>
      </c>
      <c r="H596" s="1">
        <v>1313.0</v>
      </c>
      <c r="I596" s="7">
        <f>IFERROR(__xludf.DUMMYFUNCTION("SPLIT(B596,""T""""Z"")"),42515.0)</f>
        <v>42515</v>
      </c>
      <c r="J596" s="8">
        <f>IFERROR(__xludf.DUMMYFUNCTION("""COMPUTED_VALUE"""),0.4229513888888889)</f>
        <v>0.4229513889</v>
      </c>
      <c r="K596" s="9">
        <f t="shared" si="1"/>
        <v>6</v>
      </c>
      <c r="L596" s="7">
        <f>IFERROR(__xludf.DUMMYFUNCTION("SPLIT(C596,""T""""Z"")"),44798.0)</f>
        <v>44798</v>
      </c>
      <c r="M596" s="8">
        <f>IFERROR(__xludf.DUMMYFUNCTION("""COMPUTED_VALUE"""),0.5268171296296297)</f>
        <v>0.5268171296</v>
      </c>
      <c r="N596" s="10">
        <f t="shared" si="2"/>
        <v>132.6436111</v>
      </c>
      <c r="O596" s="11">
        <f t="shared" si="3"/>
        <v>0.7709923664</v>
      </c>
    </row>
    <row r="597">
      <c r="A597" s="1" t="s">
        <v>1817</v>
      </c>
      <c r="B597" s="1" t="s">
        <v>1818</v>
      </c>
      <c r="C597" s="1" t="s">
        <v>1819</v>
      </c>
      <c r="D597" s="1">
        <v>0.0</v>
      </c>
      <c r="E597" s="13" t="s">
        <v>22</v>
      </c>
      <c r="F597" s="1">
        <v>60.0</v>
      </c>
      <c r="G597" s="1">
        <v>24.0</v>
      </c>
      <c r="H597" s="1">
        <v>17.0</v>
      </c>
      <c r="I597" s="7">
        <f>IFERROR(__xludf.DUMMYFUNCTION("SPLIT(B597,""T""""Z"")"),43716.0)</f>
        <v>43716</v>
      </c>
      <c r="J597" s="8">
        <f>IFERROR(__xludf.DUMMYFUNCTION("""COMPUTED_VALUE"""),0.5685185185185185)</f>
        <v>0.5685185185</v>
      </c>
      <c r="K597" s="9">
        <f t="shared" si="1"/>
        <v>2</v>
      </c>
      <c r="L597" s="7">
        <f>IFERROR(__xludf.DUMMYFUNCTION("SPLIT(C597,""T""""Z"")"),44798.0)</f>
        <v>44798</v>
      </c>
      <c r="M597" s="8">
        <f>IFERROR(__xludf.DUMMYFUNCTION("""COMPUTED_VALUE"""),0.556886574074074)</f>
        <v>0.5568865741</v>
      </c>
      <c r="N597" s="12">
        <f t="shared" si="2"/>
        <v>133.3652778</v>
      </c>
      <c r="O597" s="11">
        <f t="shared" si="3"/>
        <v>0.7083333333</v>
      </c>
    </row>
    <row r="598">
      <c r="A598" s="1" t="s">
        <v>1820</v>
      </c>
      <c r="B598" s="1" t="s">
        <v>1821</v>
      </c>
      <c r="C598" s="1" t="s">
        <v>1822</v>
      </c>
      <c r="D598" s="1">
        <v>1.0</v>
      </c>
      <c r="E598" s="1" t="s">
        <v>38</v>
      </c>
      <c r="F598" s="1">
        <v>55.0</v>
      </c>
      <c r="G598" s="1">
        <v>646.0</v>
      </c>
      <c r="H598" s="1">
        <v>344.0</v>
      </c>
      <c r="I598" s="7">
        <f>IFERROR(__xludf.DUMMYFUNCTION("SPLIT(B598,""T""""Z"")"),44415.0)</f>
        <v>44415</v>
      </c>
      <c r="J598" s="8">
        <f>IFERROR(__xludf.DUMMYFUNCTION("""COMPUTED_VALUE"""),0.16225694444444444)</f>
        <v>0.1622569444</v>
      </c>
      <c r="K598" s="9">
        <f t="shared" si="1"/>
        <v>1</v>
      </c>
      <c r="L598" s="7">
        <f>IFERROR(__xludf.DUMMYFUNCTION("SPLIT(C598,""T""""Z"")"),44798.0)</f>
        <v>44798</v>
      </c>
      <c r="M598" s="8">
        <f>IFERROR(__xludf.DUMMYFUNCTION("""COMPUTED_VALUE"""),0.5861226851851852)</f>
        <v>0.5861226852</v>
      </c>
      <c r="N598" s="10">
        <f t="shared" si="2"/>
        <v>134.0669444</v>
      </c>
      <c r="O598" s="11">
        <f t="shared" si="3"/>
        <v>0.5325077399</v>
      </c>
    </row>
    <row r="599">
      <c r="A599" s="1" t="s">
        <v>1823</v>
      </c>
      <c r="B599" s="1" t="s">
        <v>1824</v>
      </c>
      <c r="C599" s="1" t="s">
        <v>1825</v>
      </c>
      <c r="D599" s="1">
        <v>1.0</v>
      </c>
      <c r="E599" s="1" t="s">
        <v>68</v>
      </c>
      <c r="F599" s="1">
        <v>72.0</v>
      </c>
      <c r="G599" s="1">
        <v>240.0</v>
      </c>
      <c r="H599" s="1">
        <v>93.0</v>
      </c>
      <c r="I599" s="7">
        <f>IFERROR(__xludf.DUMMYFUNCTION("SPLIT(B599,""T""""Z"")"),41262.0)</f>
        <v>41262</v>
      </c>
      <c r="J599" s="8">
        <f>IFERROR(__xludf.DUMMYFUNCTION("""COMPUTED_VALUE"""),0.5637731481481482)</f>
        <v>0.5637731481</v>
      </c>
      <c r="K599" s="9">
        <f t="shared" si="1"/>
        <v>9</v>
      </c>
      <c r="L599" s="7">
        <f>IFERROR(__xludf.DUMMYFUNCTION("SPLIT(C599,""T""""Z"")"),44798.0)</f>
        <v>44798</v>
      </c>
      <c r="M599" s="8">
        <f>IFERROR(__xludf.DUMMYFUNCTION("""COMPUTED_VALUE"""),0.44105324074074076)</f>
        <v>0.4410532407</v>
      </c>
      <c r="N599" s="10">
        <f t="shared" si="2"/>
        <v>130.5852778</v>
      </c>
      <c r="O599" s="11">
        <f t="shared" si="3"/>
        <v>0.3875</v>
      </c>
    </row>
    <row r="600">
      <c r="A600" s="1" t="s">
        <v>1826</v>
      </c>
      <c r="B600" s="1" t="s">
        <v>1827</v>
      </c>
      <c r="C600" s="1" t="s">
        <v>1828</v>
      </c>
      <c r="D600" s="1">
        <v>10.0</v>
      </c>
      <c r="E600" s="1" t="s">
        <v>95</v>
      </c>
      <c r="F600" s="1">
        <v>6.0</v>
      </c>
      <c r="G600" s="1">
        <v>1444.0</v>
      </c>
      <c r="H600" s="1">
        <v>1197.0</v>
      </c>
      <c r="I600" s="7">
        <f>IFERROR(__xludf.DUMMYFUNCTION("SPLIT(B600,""T""""Z"")"),42888.0)</f>
        <v>42888</v>
      </c>
      <c r="J600" s="8">
        <f>IFERROR(__xludf.DUMMYFUNCTION("""COMPUTED_VALUE"""),0.4116898148148148)</f>
        <v>0.4116898148</v>
      </c>
      <c r="K600" s="9">
        <f t="shared" si="1"/>
        <v>5</v>
      </c>
      <c r="L600" s="7">
        <f>IFERROR(__xludf.DUMMYFUNCTION("SPLIT(C600,""T""""Z"")"),44797.0)</f>
        <v>44797</v>
      </c>
      <c r="M600" s="8">
        <f>IFERROR(__xludf.DUMMYFUNCTION("""COMPUTED_VALUE"""),0.33358796296296295)</f>
        <v>0.333587963</v>
      </c>
      <c r="N600" s="10">
        <f t="shared" si="2"/>
        <v>152.0061111</v>
      </c>
      <c r="O600" s="11">
        <f t="shared" si="3"/>
        <v>0.8289473684</v>
      </c>
    </row>
    <row r="601">
      <c r="A601" s="1" t="s">
        <v>1829</v>
      </c>
      <c r="B601" s="1" t="s">
        <v>1830</v>
      </c>
      <c r="C601" s="1" t="s">
        <v>1831</v>
      </c>
      <c r="D601" s="1">
        <v>0.0</v>
      </c>
      <c r="E601" s="13" t="s">
        <v>22</v>
      </c>
      <c r="F601" s="1">
        <v>9.0</v>
      </c>
      <c r="G601" s="1">
        <v>62.0</v>
      </c>
      <c r="H601" s="1">
        <v>10.0</v>
      </c>
      <c r="I601" s="7">
        <f>IFERROR(__xludf.DUMMYFUNCTION("SPLIT(B601,""T""""Z"")"),44208.0)</f>
        <v>44208</v>
      </c>
      <c r="J601" s="8">
        <f>IFERROR(__xludf.DUMMYFUNCTION("""COMPUTED_VALUE"""),0.03488425925925926)</f>
        <v>0.03488425926</v>
      </c>
      <c r="K601" s="9">
        <f t="shared" si="1"/>
        <v>1</v>
      </c>
      <c r="L601" s="7">
        <f>IFERROR(__xludf.DUMMYFUNCTION("SPLIT(C601,""T""""Z"")"),44798.0)</f>
        <v>44798</v>
      </c>
      <c r="M601" s="8">
        <f>IFERROR(__xludf.DUMMYFUNCTION("""COMPUTED_VALUE"""),0.6101620370370371)</f>
        <v>0.610162037</v>
      </c>
      <c r="N601" s="12">
        <f t="shared" si="2"/>
        <v>134.6438889</v>
      </c>
      <c r="O601" s="11">
        <f t="shared" si="3"/>
        <v>0.1612903226</v>
      </c>
    </row>
    <row r="602">
      <c r="A602" s="1" t="s">
        <v>1832</v>
      </c>
      <c r="B602" s="1" t="s">
        <v>1833</v>
      </c>
      <c r="C602" s="1" t="s">
        <v>1834</v>
      </c>
      <c r="D602" s="1">
        <v>322.0</v>
      </c>
      <c r="E602" s="1" t="s">
        <v>124</v>
      </c>
      <c r="F602" s="1">
        <v>12241.0</v>
      </c>
      <c r="G602" s="1">
        <v>6664.0</v>
      </c>
      <c r="H602" s="1">
        <v>6146.0</v>
      </c>
      <c r="I602" s="7">
        <f>IFERROR(__xludf.DUMMYFUNCTION("SPLIT(B602,""T""""Z"")"),42170.0)</f>
        <v>42170</v>
      </c>
      <c r="J602" s="8">
        <f>IFERROR(__xludf.DUMMYFUNCTION("""COMPUTED_VALUE"""),0.28474537037037034)</f>
        <v>0.2847453704</v>
      </c>
      <c r="K602" s="9">
        <f t="shared" si="1"/>
        <v>7</v>
      </c>
      <c r="L602" s="7">
        <f>IFERROR(__xludf.DUMMYFUNCTION("SPLIT(C602,""T""""Z"")"),44798.0)</f>
        <v>44798</v>
      </c>
      <c r="M602" s="8">
        <f>IFERROR(__xludf.DUMMYFUNCTION("""COMPUTED_VALUE"""),0.5403819444444444)</f>
        <v>0.5403819444</v>
      </c>
      <c r="N602" s="10">
        <f t="shared" si="2"/>
        <v>132.9691667</v>
      </c>
      <c r="O602" s="11">
        <f t="shared" si="3"/>
        <v>0.9222689076</v>
      </c>
    </row>
    <row r="603">
      <c r="A603" s="1" t="s">
        <v>1835</v>
      </c>
      <c r="B603" s="1" t="s">
        <v>1836</v>
      </c>
      <c r="C603" s="1" t="s">
        <v>1837</v>
      </c>
      <c r="D603" s="1">
        <v>119.0</v>
      </c>
      <c r="E603" s="1" t="s">
        <v>95</v>
      </c>
      <c r="F603" s="1">
        <v>304.0</v>
      </c>
      <c r="G603" s="1">
        <v>1929.0</v>
      </c>
      <c r="H603" s="1">
        <v>1911.0</v>
      </c>
      <c r="I603" s="7">
        <f>IFERROR(__xludf.DUMMYFUNCTION("SPLIT(B603,""T""""Z"")"),41742.0)</f>
        <v>41742</v>
      </c>
      <c r="J603" s="8">
        <f>IFERROR(__xludf.DUMMYFUNCTION("""COMPUTED_VALUE"""),0.30822916666666667)</f>
        <v>0.3082291667</v>
      </c>
      <c r="K603" s="9">
        <f t="shared" si="1"/>
        <v>8</v>
      </c>
      <c r="L603" s="7">
        <f>IFERROR(__xludf.DUMMYFUNCTION("SPLIT(C603,""T""""Z"")"),44798.0)</f>
        <v>44798</v>
      </c>
      <c r="M603" s="8">
        <f>IFERROR(__xludf.DUMMYFUNCTION("""COMPUTED_VALUE"""),0.573287037037037)</f>
        <v>0.573287037</v>
      </c>
      <c r="N603" s="10">
        <f t="shared" si="2"/>
        <v>133.7588889</v>
      </c>
      <c r="O603" s="11">
        <f t="shared" si="3"/>
        <v>0.9906687403</v>
      </c>
    </row>
    <row r="604">
      <c r="A604" s="1" t="s">
        <v>1838</v>
      </c>
      <c r="B604" s="1" t="s">
        <v>1839</v>
      </c>
      <c r="C604" s="1" t="s">
        <v>1840</v>
      </c>
      <c r="D604" s="1">
        <v>47.0</v>
      </c>
      <c r="E604" s="1" t="s">
        <v>95</v>
      </c>
      <c r="F604" s="1">
        <v>2003.0</v>
      </c>
      <c r="G604" s="1">
        <v>6085.0</v>
      </c>
      <c r="H604" s="1">
        <v>5655.0</v>
      </c>
      <c r="I604" s="7">
        <f>IFERROR(__xludf.DUMMYFUNCTION("SPLIT(B604,""T""""Z"")"),43266.0)</f>
        <v>43266</v>
      </c>
      <c r="J604" s="8">
        <f>IFERROR(__xludf.DUMMYFUNCTION("""COMPUTED_VALUE"""),0.28434027777777776)</f>
        <v>0.2843402778</v>
      </c>
      <c r="K604" s="9">
        <f t="shared" si="1"/>
        <v>4</v>
      </c>
      <c r="L604" s="7">
        <f>IFERROR(__xludf.DUMMYFUNCTION("SPLIT(C604,""T""""Z"")"),44798.0)</f>
        <v>44798</v>
      </c>
      <c r="M604" s="8">
        <f>IFERROR(__xludf.DUMMYFUNCTION("""COMPUTED_VALUE"""),0.4777546296296296)</f>
        <v>0.4777546296</v>
      </c>
      <c r="N604" s="10">
        <f t="shared" si="2"/>
        <v>131.4661111</v>
      </c>
      <c r="O604" s="11">
        <f t="shared" si="3"/>
        <v>0.9293344289</v>
      </c>
    </row>
    <row r="605">
      <c r="A605" s="1" t="s">
        <v>1841</v>
      </c>
      <c r="B605" s="1" t="s">
        <v>1842</v>
      </c>
      <c r="C605" s="1" t="s">
        <v>1843</v>
      </c>
      <c r="D605" s="1">
        <v>83.0</v>
      </c>
      <c r="E605" s="1" t="s">
        <v>18</v>
      </c>
      <c r="F605" s="1">
        <v>586.0</v>
      </c>
      <c r="G605" s="1">
        <v>630.0</v>
      </c>
      <c r="H605" s="1">
        <v>557.0</v>
      </c>
      <c r="I605" s="7">
        <f>IFERROR(__xludf.DUMMYFUNCTION("SPLIT(B605,""T""""Z"")"),43766.0)</f>
        <v>43766</v>
      </c>
      <c r="J605" s="8">
        <f>IFERROR(__xludf.DUMMYFUNCTION("""COMPUTED_VALUE"""),0.7611226851851852)</f>
        <v>0.7611226852</v>
      </c>
      <c r="K605" s="9">
        <f t="shared" si="1"/>
        <v>2</v>
      </c>
      <c r="L605" s="7">
        <f>IFERROR(__xludf.DUMMYFUNCTION("SPLIT(C605,""T""""Z"")"),44798.0)</f>
        <v>44798</v>
      </c>
      <c r="M605" s="8">
        <f>IFERROR(__xludf.DUMMYFUNCTION("""COMPUTED_VALUE"""),0.586400462962963)</f>
        <v>0.586400463</v>
      </c>
      <c r="N605" s="10">
        <f t="shared" si="2"/>
        <v>134.0736111</v>
      </c>
      <c r="O605" s="11">
        <f t="shared" si="3"/>
        <v>0.8841269841</v>
      </c>
    </row>
    <row r="606">
      <c r="A606" s="1" t="s">
        <v>1844</v>
      </c>
      <c r="B606" s="1" t="s">
        <v>1845</v>
      </c>
      <c r="C606" s="1" t="s">
        <v>1846</v>
      </c>
      <c r="D606" s="1">
        <v>12.0</v>
      </c>
      <c r="E606" s="1" t="s">
        <v>124</v>
      </c>
      <c r="F606" s="1">
        <v>473.0</v>
      </c>
      <c r="G606" s="1">
        <v>552.0</v>
      </c>
      <c r="H606" s="1">
        <v>517.0</v>
      </c>
      <c r="I606" s="7">
        <f>IFERROR(__xludf.DUMMYFUNCTION("SPLIT(B606,""T""""Z"")"),42038.0)</f>
        <v>42038</v>
      </c>
      <c r="J606" s="8">
        <f>IFERROR(__xludf.DUMMYFUNCTION("""COMPUTED_VALUE"""),9.143518518518518E-4)</f>
        <v>0.0009143518519</v>
      </c>
      <c r="K606" s="9">
        <f t="shared" si="1"/>
        <v>7</v>
      </c>
      <c r="L606" s="7">
        <f>IFERROR(__xludf.DUMMYFUNCTION("SPLIT(C606,""T""""Z"")"),44798.0)</f>
        <v>44798</v>
      </c>
      <c r="M606" s="8">
        <f>IFERROR(__xludf.DUMMYFUNCTION("""COMPUTED_VALUE"""),0.5801967592592593)</f>
        <v>0.5801967593</v>
      </c>
      <c r="N606" s="10">
        <f t="shared" si="2"/>
        <v>133.9247222</v>
      </c>
      <c r="O606" s="11">
        <f t="shared" si="3"/>
        <v>0.9365942029</v>
      </c>
    </row>
    <row r="607">
      <c r="A607" s="1" t="s">
        <v>1847</v>
      </c>
      <c r="B607" s="1" t="s">
        <v>1848</v>
      </c>
      <c r="C607" s="1" t="s">
        <v>1849</v>
      </c>
      <c r="D607" s="1">
        <v>0.0</v>
      </c>
      <c r="E607" s="1" t="s">
        <v>95</v>
      </c>
      <c r="F607" s="1">
        <v>52.0</v>
      </c>
      <c r="G607" s="1">
        <v>115.0</v>
      </c>
      <c r="H607" s="1">
        <v>63.0</v>
      </c>
      <c r="I607" s="7">
        <f>IFERROR(__xludf.DUMMYFUNCTION("SPLIT(B607,""T""""Z"")"),43398.0)</f>
        <v>43398</v>
      </c>
      <c r="J607" s="8">
        <f>IFERROR(__xludf.DUMMYFUNCTION("""COMPUTED_VALUE"""),0.413125)</f>
        <v>0.413125</v>
      </c>
      <c r="K607" s="9">
        <f t="shared" si="1"/>
        <v>3</v>
      </c>
      <c r="L607" s="7">
        <f>IFERROR(__xludf.DUMMYFUNCTION("SPLIT(C607,""T""""Z"")"),44798.0)</f>
        <v>44798</v>
      </c>
      <c r="M607" s="8">
        <f>IFERROR(__xludf.DUMMYFUNCTION("""COMPUTED_VALUE"""),0.5384837962962963)</f>
        <v>0.5384837963</v>
      </c>
      <c r="N607" s="10">
        <f t="shared" si="2"/>
        <v>132.9236111</v>
      </c>
      <c r="O607" s="11">
        <f t="shared" si="3"/>
        <v>0.547826087</v>
      </c>
    </row>
    <row r="608">
      <c r="A608" s="1" t="s">
        <v>1850</v>
      </c>
      <c r="B608" s="1" t="s">
        <v>1851</v>
      </c>
      <c r="C608" s="1" t="s">
        <v>1852</v>
      </c>
      <c r="D608" s="1">
        <v>157.0</v>
      </c>
      <c r="E608" s="1" t="s">
        <v>18</v>
      </c>
      <c r="F608" s="1">
        <v>1591.0</v>
      </c>
      <c r="G608" s="1">
        <v>1931.0</v>
      </c>
      <c r="H608" s="1">
        <v>1557.0</v>
      </c>
      <c r="I608" s="7">
        <f>IFERROR(__xludf.DUMMYFUNCTION("SPLIT(B608,""T""""Z"")"),42304.0)</f>
        <v>42304</v>
      </c>
      <c r="J608" s="8">
        <f>IFERROR(__xludf.DUMMYFUNCTION("""COMPUTED_VALUE"""),0.703738425925926)</f>
        <v>0.7037384259</v>
      </c>
      <c r="K608" s="9">
        <f t="shared" si="1"/>
        <v>6</v>
      </c>
      <c r="L608" s="7">
        <f>IFERROR(__xludf.DUMMYFUNCTION("SPLIT(C608,""T""""Z"")"),44798.0)</f>
        <v>44798</v>
      </c>
      <c r="M608" s="8">
        <f>IFERROR(__xludf.DUMMYFUNCTION("""COMPUTED_VALUE"""),0.22533564814814816)</f>
        <v>0.2253356481</v>
      </c>
      <c r="N608" s="10">
        <f t="shared" si="2"/>
        <v>125.4080556</v>
      </c>
      <c r="O608" s="11">
        <f t="shared" si="3"/>
        <v>0.80631797</v>
      </c>
    </row>
    <row r="609">
      <c r="A609" s="1" t="s">
        <v>1853</v>
      </c>
      <c r="B609" s="1" t="s">
        <v>1854</v>
      </c>
      <c r="C609" s="1" t="s">
        <v>1855</v>
      </c>
      <c r="D609" s="1">
        <v>0.0</v>
      </c>
      <c r="E609" s="1" t="s">
        <v>68</v>
      </c>
      <c r="F609" s="1">
        <v>90.0</v>
      </c>
      <c r="G609" s="1">
        <v>395.0</v>
      </c>
      <c r="H609" s="1">
        <v>210.0</v>
      </c>
      <c r="I609" s="7">
        <f>IFERROR(__xludf.DUMMYFUNCTION("SPLIT(B609,""T""""Z"")"),43986.0)</f>
        <v>43986</v>
      </c>
      <c r="J609" s="8">
        <f>IFERROR(__xludf.DUMMYFUNCTION("""COMPUTED_VALUE"""),0.4594560185185185)</f>
        <v>0.4594560185</v>
      </c>
      <c r="K609" s="9">
        <f t="shared" si="1"/>
        <v>2</v>
      </c>
      <c r="L609" s="7">
        <f>IFERROR(__xludf.DUMMYFUNCTION("SPLIT(C609,""T""""Z"")"),44798.0)</f>
        <v>44798</v>
      </c>
      <c r="M609" s="8">
        <f>IFERROR(__xludf.DUMMYFUNCTION("""COMPUTED_VALUE"""),0.5621759259259259)</f>
        <v>0.5621759259</v>
      </c>
      <c r="N609" s="10">
        <f t="shared" si="2"/>
        <v>133.4922222</v>
      </c>
      <c r="O609" s="11">
        <f t="shared" si="3"/>
        <v>0.5316455696</v>
      </c>
    </row>
    <row r="610">
      <c r="A610" s="1" t="s">
        <v>1856</v>
      </c>
      <c r="B610" s="1" t="s">
        <v>1857</v>
      </c>
      <c r="C610" s="1" t="s">
        <v>1858</v>
      </c>
      <c r="D610" s="1">
        <v>195.0</v>
      </c>
      <c r="E610" s="1" t="s">
        <v>161</v>
      </c>
      <c r="F610" s="1">
        <v>2924.0</v>
      </c>
      <c r="G610" s="1">
        <v>2041.0</v>
      </c>
      <c r="H610" s="1">
        <v>1770.0</v>
      </c>
      <c r="I610" s="7">
        <f>IFERROR(__xludf.DUMMYFUNCTION("SPLIT(B610,""T""""Z"")"),43091.0)</f>
        <v>43091</v>
      </c>
      <c r="J610" s="8">
        <f>IFERROR(__xludf.DUMMYFUNCTION("""COMPUTED_VALUE"""),0.48627314814814815)</f>
        <v>0.4862731481</v>
      </c>
      <c r="K610" s="9">
        <f t="shared" si="1"/>
        <v>4</v>
      </c>
      <c r="L610" s="7">
        <f>IFERROR(__xludf.DUMMYFUNCTION("SPLIT(C610,""T""""Z"")"),44798.0)</f>
        <v>44798</v>
      </c>
      <c r="M610" s="8">
        <f>IFERROR(__xludf.DUMMYFUNCTION("""COMPUTED_VALUE"""),0.5755787037037037)</f>
        <v>0.5755787037</v>
      </c>
      <c r="N610" s="10">
        <f t="shared" si="2"/>
        <v>133.8138889</v>
      </c>
      <c r="O610" s="11">
        <f t="shared" si="3"/>
        <v>0.86722195</v>
      </c>
    </row>
    <row r="611">
      <c r="A611" s="1" t="s">
        <v>1859</v>
      </c>
      <c r="B611" s="1" t="s">
        <v>1860</v>
      </c>
      <c r="C611" s="1" t="s">
        <v>1861</v>
      </c>
      <c r="D611" s="1">
        <v>33.0</v>
      </c>
      <c r="E611" s="1" t="s">
        <v>124</v>
      </c>
      <c r="F611" s="1">
        <v>124.0</v>
      </c>
      <c r="G611" s="1">
        <v>215.0</v>
      </c>
      <c r="H611" s="1">
        <v>133.0</v>
      </c>
      <c r="I611" s="7">
        <f>IFERROR(__xludf.DUMMYFUNCTION("SPLIT(B611,""T""""Z"")"),43603.0)</f>
        <v>43603</v>
      </c>
      <c r="J611" s="8">
        <f>IFERROR(__xludf.DUMMYFUNCTION("""COMPUTED_VALUE"""),0.37071759259259257)</f>
        <v>0.3707175926</v>
      </c>
      <c r="K611" s="9">
        <f t="shared" si="1"/>
        <v>3</v>
      </c>
      <c r="L611" s="7">
        <f>IFERROR(__xludf.DUMMYFUNCTION("SPLIT(C611,""T""""Z"")"),44798.0)</f>
        <v>44798</v>
      </c>
      <c r="M611" s="8">
        <f>IFERROR(__xludf.DUMMYFUNCTION("""COMPUTED_VALUE"""),0.4653703703703704)</f>
        <v>0.4653703704</v>
      </c>
      <c r="N611" s="10">
        <f t="shared" si="2"/>
        <v>131.1688889</v>
      </c>
      <c r="O611" s="11">
        <f t="shared" si="3"/>
        <v>0.6186046512</v>
      </c>
    </row>
    <row r="612">
      <c r="A612" s="1" t="s">
        <v>1862</v>
      </c>
      <c r="B612" s="1" t="s">
        <v>1863</v>
      </c>
      <c r="C612" s="1" t="s">
        <v>1864</v>
      </c>
      <c r="D612" s="1">
        <v>93.0</v>
      </c>
      <c r="E612" s="1" t="s">
        <v>124</v>
      </c>
      <c r="F612" s="1">
        <v>468.0</v>
      </c>
      <c r="G612" s="1">
        <v>1280.0</v>
      </c>
      <c r="H612" s="1">
        <v>1227.0</v>
      </c>
      <c r="I612" s="7">
        <f>IFERROR(__xludf.DUMMYFUNCTION("SPLIT(B612,""T""""Z"")"),42064.0)</f>
        <v>42064</v>
      </c>
      <c r="J612" s="8">
        <f>IFERROR(__xludf.DUMMYFUNCTION("""COMPUTED_VALUE"""),0.7382060185185185)</f>
        <v>0.7382060185</v>
      </c>
      <c r="K612" s="9">
        <f t="shared" si="1"/>
        <v>7</v>
      </c>
      <c r="L612" s="7">
        <f>IFERROR(__xludf.DUMMYFUNCTION("SPLIT(C612,""T""""Z"")"),44798.0)</f>
        <v>44798</v>
      </c>
      <c r="M612" s="8">
        <f>IFERROR(__xludf.DUMMYFUNCTION("""COMPUTED_VALUE"""),0.5120601851851851)</f>
        <v>0.5120601852</v>
      </c>
      <c r="N612" s="10">
        <f t="shared" si="2"/>
        <v>132.2894444</v>
      </c>
      <c r="O612" s="11">
        <f t="shared" si="3"/>
        <v>0.95859375</v>
      </c>
    </row>
    <row r="613">
      <c r="A613" s="1" t="s">
        <v>1865</v>
      </c>
      <c r="B613" s="1" t="s">
        <v>1866</v>
      </c>
      <c r="C613" s="1" t="s">
        <v>1867</v>
      </c>
      <c r="D613" s="1">
        <v>0.0</v>
      </c>
      <c r="E613" s="1" t="s">
        <v>88</v>
      </c>
      <c r="F613" s="1">
        <v>11.0</v>
      </c>
      <c r="G613" s="1">
        <v>155.0</v>
      </c>
      <c r="H613" s="1">
        <v>95.0</v>
      </c>
      <c r="I613" s="7">
        <f>IFERROR(__xludf.DUMMYFUNCTION("SPLIT(B613,""T""""Z"")"),41911.0)</f>
        <v>41911</v>
      </c>
      <c r="J613" s="8">
        <f>IFERROR(__xludf.DUMMYFUNCTION("""COMPUTED_VALUE"""),0.3608101851851852)</f>
        <v>0.3608101852</v>
      </c>
      <c r="K613" s="9">
        <f t="shared" si="1"/>
        <v>7</v>
      </c>
      <c r="L613" s="7">
        <f>IFERROR(__xludf.DUMMYFUNCTION("SPLIT(C613,""T""""Z"")"),44798.0)</f>
        <v>44798</v>
      </c>
      <c r="M613" s="8">
        <f>IFERROR(__xludf.DUMMYFUNCTION("""COMPUTED_VALUE"""),0.5707060185185185)</f>
        <v>0.5707060185</v>
      </c>
      <c r="N613" s="10">
        <f t="shared" si="2"/>
        <v>133.6969444</v>
      </c>
      <c r="O613" s="11">
        <f t="shared" si="3"/>
        <v>0.6129032258</v>
      </c>
    </row>
    <row r="614">
      <c r="A614" s="1" t="s">
        <v>1868</v>
      </c>
      <c r="B614" s="1" t="s">
        <v>1869</v>
      </c>
      <c r="C614" s="1" t="s">
        <v>1870</v>
      </c>
      <c r="D614" s="1">
        <v>0.0</v>
      </c>
      <c r="E614" s="1" t="s">
        <v>38</v>
      </c>
      <c r="F614" s="1">
        <v>31.0</v>
      </c>
      <c r="G614" s="1">
        <v>32.0</v>
      </c>
      <c r="H614" s="1">
        <v>21.0</v>
      </c>
      <c r="I614" s="7">
        <f>IFERROR(__xludf.DUMMYFUNCTION("SPLIT(B614,""T""""Z"")"),42027.0)</f>
        <v>42027</v>
      </c>
      <c r="J614" s="8">
        <f>IFERROR(__xludf.DUMMYFUNCTION("""COMPUTED_VALUE"""),0.8183912037037037)</f>
        <v>0.8183912037</v>
      </c>
      <c r="K614" s="9">
        <f t="shared" si="1"/>
        <v>7</v>
      </c>
      <c r="L614" s="7">
        <f>IFERROR(__xludf.DUMMYFUNCTION("SPLIT(C614,""T""""Z"")"),44798.0)</f>
        <v>44798</v>
      </c>
      <c r="M614" s="8">
        <f>IFERROR(__xludf.DUMMYFUNCTION("""COMPUTED_VALUE"""),0.5655671296296296)</f>
        <v>0.5655671296</v>
      </c>
      <c r="N614" s="10">
        <f t="shared" si="2"/>
        <v>133.5736111</v>
      </c>
      <c r="O614" s="11">
        <f t="shared" si="3"/>
        <v>0.65625</v>
      </c>
    </row>
    <row r="615">
      <c r="A615" s="1" t="s">
        <v>1871</v>
      </c>
      <c r="B615" s="1" t="s">
        <v>1872</v>
      </c>
      <c r="C615" s="1" t="s">
        <v>1873</v>
      </c>
      <c r="D615" s="1">
        <v>96.0</v>
      </c>
      <c r="E615" s="1" t="s">
        <v>48</v>
      </c>
      <c r="F615" s="1">
        <v>294.0</v>
      </c>
      <c r="G615" s="1">
        <v>577.0</v>
      </c>
      <c r="H615" s="1">
        <v>551.0</v>
      </c>
      <c r="I615" s="7">
        <f>IFERROR(__xludf.DUMMYFUNCTION("SPLIT(B615,""T""""Z"")"),43098.0)</f>
        <v>43098</v>
      </c>
      <c r="J615" s="8">
        <f>IFERROR(__xludf.DUMMYFUNCTION("""COMPUTED_VALUE"""),0.5179050925925925)</f>
        <v>0.5179050926</v>
      </c>
      <c r="K615" s="9">
        <f t="shared" si="1"/>
        <v>4</v>
      </c>
      <c r="L615" s="7">
        <f>IFERROR(__xludf.DUMMYFUNCTION("SPLIT(C615,""T""""Z"")"),44798.0)</f>
        <v>44798</v>
      </c>
      <c r="M615" s="8">
        <f>IFERROR(__xludf.DUMMYFUNCTION("""COMPUTED_VALUE"""),0.4822106481481481)</f>
        <v>0.4822106481</v>
      </c>
      <c r="N615" s="10">
        <f t="shared" si="2"/>
        <v>131.5730556</v>
      </c>
      <c r="O615" s="11">
        <f t="shared" si="3"/>
        <v>0.9549393414</v>
      </c>
    </row>
    <row r="616">
      <c r="A616" s="1" t="s">
        <v>1874</v>
      </c>
      <c r="B616" s="1" t="s">
        <v>1875</v>
      </c>
      <c r="C616" s="1" t="s">
        <v>1876</v>
      </c>
      <c r="D616" s="1">
        <v>227.0</v>
      </c>
      <c r="E616" s="1" t="s">
        <v>68</v>
      </c>
      <c r="F616" s="1">
        <v>2417.0</v>
      </c>
      <c r="G616" s="1">
        <v>2421.0</v>
      </c>
      <c r="H616" s="1">
        <v>2373.0</v>
      </c>
      <c r="I616" s="7">
        <f>IFERROR(__xludf.DUMMYFUNCTION("SPLIT(B616,""T""""Z"")"),41433.0)</f>
        <v>41433</v>
      </c>
      <c r="J616" s="8">
        <f>IFERROR(__xludf.DUMMYFUNCTION("""COMPUTED_VALUE"""),0.43538194444444445)</f>
        <v>0.4353819444</v>
      </c>
      <c r="K616" s="9">
        <f t="shared" si="1"/>
        <v>9</v>
      </c>
      <c r="L616" s="7">
        <f>IFERROR(__xludf.DUMMYFUNCTION("SPLIT(C616,""T""""Z"")"),44798.0)</f>
        <v>44798</v>
      </c>
      <c r="M616" s="8">
        <f>IFERROR(__xludf.DUMMYFUNCTION("""COMPUTED_VALUE"""),0.59375)</f>
        <v>0.59375</v>
      </c>
      <c r="N616" s="10">
        <f t="shared" si="2"/>
        <v>134.25</v>
      </c>
      <c r="O616" s="11">
        <f t="shared" si="3"/>
        <v>0.980173482</v>
      </c>
    </row>
    <row r="617">
      <c r="A617" s="1" t="s">
        <v>1877</v>
      </c>
      <c r="B617" s="1" t="s">
        <v>1878</v>
      </c>
      <c r="C617" s="1" t="s">
        <v>1879</v>
      </c>
      <c r="D617" s="1">
        <v>28.0</v>
      </c>
      <c r="E617" s="1" t="s">
        <v>95</v>
      </c>
      <c r="F617" s="1">
        <v>612.0</v>
      </c>
      <c r="G617" s="1">
        <v>1809.0</v>
      </c>
      <c r="H617" s="1">
        <v>1443.0</v>
      </c>
      <c r="I617" s="7">
        <f>IFERROR(__xludf.DUMMYFUNCTION("SPLIT(B617,""T""""Z"")"),43070.0)</f>
        <v>43070</v>
      </c>
      <c r="J617" s="8">
        <f>IFERROR(__xludf.DUMMYFUNCTION("""COMPUTED_VALUE"""),0.8675347222222223)</f>
        <v>0.8675347222</v>
      </c>
      <c r="K617" s="9">
        <f t="shared" si="1"/>
        <v>4</v>
      </c>
      <c r="L617" s="7">
        <f>IFERROR(__xludf.DUMMYFUNCTION("SPLIT(C617,""T""""Z"")"),44798.0)</f>
        <v>44798</v>
      </c>
      <c r="M617" s="8">
        <f>IFERROR(__xludf.DUMMYFUNCTION("""COMPUTED_VALUE"""),0.46186342592592594)</f>
        <v>0.4618634259</v>
      </c>
      <c r="N617" s="10">
        <f t="shared" si="2"/>
        <v>131.0847222</v>
      </c>
      <c r="O617" s="11">
        <f t="shared" si="3"/>
        <v>0.7976782753</v>
      </c>
    </row>
    <row r="618">
      <c r="A618" s="1" t="s">
        <v>1880</v>
      </c>
      <c r="B618" s="1" t="s">
        <v>1881</v>
      </c>
      <c r="C618" s="1" t="s">
        <v>1882</v>
      </c>
      <c r="D618" s="1">
        <v>163.0</v>
      </c>
      <c r="E618" s="1" t="s">
        <v>52</v>
      </c>
      <c r="F618" s="1">
        <v>580.0</v>
      </c>
      <c r="G618" s="1">
        <v>2635.0</v>
      </c>
      <c r="H618" s="1">
        <v>2171.0</v>
      </c>
      <c r="I618" s="7">
        <f>IFERROR(__xludf.DUMMYFUNCTION("SPLIT(B618,""T""""Z"")"),41243.0)</f>
        <v>41243</v>
      </c>
      <c r="J618" s="8">
        <f>IFERROR(__xludf.DUMMYFUNCTION("""COMPUTED_VALUE"""),0.26131944444444444)</f>
        <v>0.2613194444</v>
      </c>
      <c r="K618" s="9">
        <f t="shared" si="1"/>
        <v>9</v>
      </c>
      <c r="L618" s="7">
        <f>IFERROR(__xludf.DUMMYFUNCTION("SPLIT(C618,""T""""Z"")"),44798.0)</f>
        <v>44798</v>
      </c>
      <c r="M618" s="8">
        <f>IFERROR(__xludf.DUMMYFUNCTION("""COMPUTED_VALUE"""),0.4939236111111111)</f>
        <v>0.4939236111</v>
      </c>
      <c r="N618" s="10">
        <f t="shared" si="2"/>
        <v>131.8541667</v>
      </c>
      <c r="O618" s="11">
        <f t="shared" si="3"/>
        <v>0.8239089184</v>
      </c>
    </row>
    <row r="619">
      <c r="A619" s="1" t="s">
        <v>1883</v>
      </c>
      <c r="B619" s="1" t="s">
        <v>1884</v>
      </c>
      <c r="C619" s="1" t="s">
        <v>1885</v>
      </c>
      <c r="D619" s="1">
        <v>0.0</v>
      </c>
      <c r="E619" s="1" t="s">
        <v>48</v>
      </c>
      <c r="F619" s="1">
        <v>20.0</v>
      </c>
      <c r="G619" s="1">
        <v>0.0</v>
      </c>
      <c r="H619" s="1">
        <v>0.0</v>
      </c>
      <c r="I619" s="7">
        <f>IFERROR(__xludf.DUMMYFUNCTION("SPLIT(B619,""T""""Z"")"),42440.0)</f>
        <v>42440</v>
      </c>
      <c r="J619" s="8">
        <f>IFERROR(__xludf.DUMMYFUNCTION("""COMPUTED_VALUE"""),0.18006944444444445)</f>
        <v>0.1800694444</v>
      </c>
      <c r="K619" s="9">
        <f t="shared" si="1"/>
        <v>6</v>
      </c>
      <c r="L619" s="7">
        <f>IFERROR(__xludf.DUMMYFUNCTION("SPLIT(C619,""T""""Z"")"),44798.0)</f>
        <v>44798</v>
      </c>
      <c r="M619" s="8">
        <f>IFERROR(__xludf.DUMMYFUNCTION("""COMPUTED_VALUE"""),0.5251736111111112)</f>
        <v>0.5251736111</v>
      </c>
      <c r="N619" s="10">
        <f t="shared" si="2"/>
        <v>132.6041667</v>
      </c>
      <c r="O619" s="11">
        <f t="shared" si="3"/>
        <v>0</v>
      </c>
    </row>
    <row r="620">
      <c r="A620" s="1" t="s">
        <v>1886</v>
      </c>
      <c r="B620" s="1" t="s">
        <v>1887</v>
      </c>
      <c r="C620" s="1" t="s">
        <v>999</v>
      </c>
      <c r="D620" s="1">
        <v>69.0</v>
      </c>
      <c r="E620" s="1" t="s">
        <v>48</v>
      </c>
      <c r="F620" s="1">
        <v>586.0</v>
      </c>
      <c r="G620" s="1">
        <v>909.0</v>
      </c>
      <c r="H620" s="1">
        <v>904.0</v>
      </c>
      <c r="I620" s="7">
        <f>IFERROR(__xludf.DUMMYFUNCTION("SPLIT(B620,""T""""Z"")"),40769.0)</f>
        <v>40769</v>
      </c>
      <c r="J620" s="8">
        <f>IFERROR(__xludf.DUMMYFUNCTION("""COMPUTED_VALUE"""),0.898587962962963)</f>
        <v>0.898587963</v>
      </c>
      <c r="K620" s="9">
        <f t="shared" si="1"/>
        <v>11</v>
      </c>
      <c r="L620" s="7">
        <f>IFERROR(__xludf.DUMMYFUNCTION("SPLIT(C620,""T""""Z"")"),44798.0)</f>
        <v>44798</v>
      </c>
      <c r="M620" s="8">
        <f>IFERROR(__xludf.DUMMYFUNCTION("""COMPUTED_VALUE"""),0.607650462962963)</f>
        <v>0.607650463</v>
      </c>
      <c r="N620" s="10">
        <f t="shared" si="2"/>
        <v>134.5836111</v>
      </c>
      <c r="O620" s="11">
        <f t="shared" si="3"/>
        <v>0.9944994499</v>
      </c>
    </row>
    <row r="621">
      <c r="A621" s="1" t="s">
        <v>1888</v>
      </c>
      <c r="B621" s="1" t="s">
        <v>1889</v>
      </c>
      <c r="C621" s="1" t="s">
        <v>1890</v>
      </c>
      <c r="D621" s="1">
        <v>0.0</v>
      </c>
      <c r="E621" s="13" t="s">
        <v>22</v>
      </c>
      <c r="F621" s="1">
        <v>82.0</v>
      </c>
      <c r="G621" s="1">
        <v>47.0</v>
      </c>
      <c r="H621" s="1">
        <v>39.0</v>
      </c>
      <c r="I621" s="7">
        <f>IFERROR(__xludf.DUMMYFUNCTION("SPLIT(B621,""T""""Z"")"),42996.0)</f>
        <v>42996</v>
      </c>
      <c r="J621" s="8">
        <f>IFERROR(__xludf.DUMMYFUNCTION("""COMPUTED_VALUE"""),0.6222222222222222)</f>
        <v>0.6222222222</v>
      </c>
      <c r="K621" s="9">
        <f t="shared" si="1"/>
        <v>4</v>
      </c>
      <c r="L621" s="7">
        <f>IFERROR(__xludf.DUMMYFUNCTION("SPLIT(C621,""T""""Z"")"),44798.0)</f>
        <v>44798</v>
      </c>
      <c r="M621" s="8">
        <f>IFERROR(__xludf.DUMMYFUNCTION("""COMPUTED_VALUE"""),0.555787037037037)</f>
        <v>0.555787037</v>
      </c>
      <c r="N621" s="12">
        <f t="shared" si="2"/>
        <v>133.3388889</v>
      </c>
      <c r="O621" s="11">
        <f t="shared" si="3"/>
        <v>0.829787234</v>
      </c>
    </row>
    <row r="622">
      <c r="A622" s="1" t="s">
        <v>1891</v>
      </c>
      <c r="B622" s="1" t="s">
        <v>1892</v>
      </c>
      <c r="C622" s="1" t="s">
        <v>1893</v>
      </c>
      <c r="D622" s="1">
        <v>87.0</v>
      </c>
      <c r="E622" s="1" t="s">
        <v>95</v>
      </c>
      <c r="F622" s="1">
        <v>642.0</v>
      </c>
      <c r="G622" s="1">
        <v>1471.0</v>
      </c>
      <c r="H622" s="1">
        <v>1305.0</v>
      </c>
      <c r="I622" s="7">
        <f>IFERROR(__xludf.DUMMYFUNCTION("SPLIT(B622,""T""""Z"")"),43180.0)</f>
        <v>43180</v>
      </c>
      <c r="J622" s="8">
        <f>IFERROR(__xludf.DUMMYFUNCTION("""COMPUTED_VALUE"""),0.5394907407407408)</f>
        <v>0.5394907407</v>
      </c>
      <c r="K622" s="9">
        <f t="shared" si="1"/>
        <v>4</v>
      </c>
      <c r="L622" s="7">
        <f>IFERROR(__xludf.DUMMYFUNCTION("SPLIT(C622,""T""""Z"")"),44798.0)</f>
        <v>44798</v>
      </c>
      <c r="M622" s="8">
        <f>IFERROR(__xludf.DUMMYFUNCTION("""COMPUTED_VALUE"""),0.5361226851851851)</f>
        <v>0.5361226852</v>
      </c>
      <c r="N622" s="10">
        <f t="shared" si="2"/>
        <v>132.8669444</v>
      </c>
      <c r="O622" s="11">
        <f t="shared" si="3"/>
        <v>0.8871515976</v>
      </c>
    </row>
    <row r="623">
      <c r="A623" s="1" t="s">
        <v>1894</v>
      </c>
      <c r="B623" s="1" t="s">
        <v>1895</v>
      </c>
      <c r="C623" s="1" t="s">
        <v>1896</v>
      </c>
      <c r="D623" s="1">
        <v>44.0</v>
      </c>
      <c r="E623" s="1" t="s">
        <v>38</v>
      </c>
      <c r="F623" s="1">
        <v>372.0</v>
      </c>
      <c r="G623" s="1">
        <v>778.0</v>
      </c>
      <c r="H623" s="1">
        <v>668.0</v>
      </c>
      <c r="I623" s="7">
        <f>IFERROR(__xludf.DUMMYFUNCTION("SPLIT(B623,""T""""Z"")"),40964.0)</f>
        <v>40964</v>
      </c>
      <c r="J623" s="8">
        <f>IFERROR(__xludf.DUMMYFUNCTION("""COMPUTED_VALUE"""),0.5272337962962963)</f>
        <v>0.5272337963</v>
      </c>
      <c r="K623" s="9">
        <f t="shared" si="1"/>
        <v>10</v>
      </c>
      <c r="L623" s="7">
        <f>IFERROR(__xludf.DUMMYFUNCTION("SPLIT(C623,""T""""Z"")"),44798.0)</f>
        <v>44798</v>
      </c>
      <c r="M623" s="8">
        <f>IFERROR(__xludf.DUMMYFUNCTION("""COMPUTED_VALUE"""),0.6077199074074074)</f>
        <v>0.6077199074</v>
      </c>
      <c r="N623" s="10">
        <f t="shared" si="2"/>
        <v>134.5852778</v>
      </c>
      <c r="O623" s="11">
        <f t="shared" si="3"/>
        <v>0.8586118252</v>
      </c>
    </row>
    <row r="624">
      <c r="A624" s="1" t="s">
        <v>1897</v>
      </c>
      <c r="B624" s="1" t="s">
        <v>1898</v>
      </c>
      <c r="C624" s="1" t="s">
        <v>1899</v>
      </c>
      <c r="D624" s="1">
        <v>0.0</v>
      </c>
      <c r="E624" s="1" t="s">
        <v>48</v>
      </c>
      <c r="F624" s="1">
        <v>102.0</v>
      </c>
      <c r="G624" s="1">
        <v>58.0</v>
      </c>
      <c r="H624" s="1">
        <v>53.0</v>
      </c>
      <c r="I624" s="7">
        <f>IFERROR(__xludf.DUMMYFUNCTION("SPLIT(B624,""T""""Z"")"),43251.0)</f>
        <v>43251</v>
      </c>
      <c r="J624" s="8">
        <f>IFERROR(__xludf.DUMMYFUNCTION("""COMPUTED_VALUE"""),0.7201504629629629)</f>
        <v>0.720150463</v>
      </c>
      <c r="K624" s="9">
        <f t="shared" si="1"/>
        <v>4</v>
      </c>
      <c r="L624" s="7">
        <f>IFERROR(__xludf.DUMMYFUNCTION("SPLIT(C624,""T""""Z"")"),44798.0)</f>
        <v>44798</v>
      </c>
      <c r="M624" s="8">
        <f>IFERROR(__xludf.DUMMYFUNCTION("""COMPUTED_VALUE"""),0.5939467592592592)</f>
        <v>0.5939467593</v>
      </c>
      <c r="N624" s="10">
        <f t="shared" si="2"/>
        <v>134.2547222</v>
      </c>
      <c r="O624" s="11">
        <f t="shared" si="3"/>
        <v>0.9137931034</v>
      </c>
    </row>
    <row r="625">
      <c r="A625" s="1" t="s">
        <v>1900</v>
      </c>
      <c r="B625" s="1" t="s">
        <v>1901</v>
      </c>
      <c r="C625" s="1" t="s">
        <v>484</v>
      </c>
      <c r="D625" s="1">
        <v>30.0</v>
      </c>
      <c r="E625" s="1" t="s">
        <v>161</v>
      </c>
      <c r="F625" s="1">
        <v>1339.0</v>
      </c>
      <c r="G625" s="1">
        <v>1055.0</v>
      </c>
      <c r="H625" s="1">
        <v>968.0</v>
      </c>
      <c r="I625" s="7">
        <f>IFERROR(__xludf.DUMMYFUNCTION("SPLIT(B625,""T""""Z"")"),43085.0)</f>
        <v>43085</v>
      </c>
      <c r="J625" s="8">
        <f>IFERROR(__xludf.DUMMYFUNCTION("""COMPUTED_VALUE"""),0.596550925925926)</f>
        <v>0.5965509259</v>
      </c>
      <c r="K625" s="9">
        <f t="shared" si="1"/>
        <v>4</v>
      </c>
      <c r="L625" s="7">
        <f>IFERROR(__xludf.DUMMYFUNCTION("SPLIT(C625,""T""""Z"")"),44798.0)</f>
        <v>44798</v>
      </c>
      <c r="M625" s="8">
        <f>IFERROR(__xludf.DUMMYFUNCTION("""COMPUTED_VALUE"""),0.5267013888888888)</f>
        <v>0.5267013889</v>
      </c>
      <c r="N625" s="10">
        <f t="shared" si="2"/>
        <v>132.6408333</v>
      </c>
      <c r="O625" s="11">
        <f t="shared" si="3"/>
        <v>0.917535545</v>
      </c>
    </row>
    <row r="626">
      <c r="A626" s="1" t="s">
        <v>1902</v>
      </c>
      <c r="B626" s="1" t="s">
        <v>1903</v>
      </c>
      <c r="C626" s="1" t="s">
        <v>1904</v>
      </c>
      <c r="D626" s="1">
        <v>0.0</v>
      </c>
      <c r="E626" s="1" t="s">
        <v>18</v>
      </c>
      <c r="F626" s="1">
        <v>373.0</v>
      </c>
      <c r="G626" s="1">
        <v>14528.0</v>
      </c>
      <c r="H626" s="1">
        <v>1232.0</v>
      </c>
      <c r="I626" s="7">
        <f>IFERROR(__xludf.DUMMYFUNCTION("SPLIT(B626,""T""""Z"")"),44035.0)</f>
        <v>44035</v>
      </c>
      <c r="J626" s="8">
        <f>IFERROR(__xludf.DUMMYFUNCTION("""COMPUTED_VALUE"""),0.6063773148148148)</f>
        <v>0.6063773148</v>
      </c>
      <c r="K626" s="9">
        <f t="shared" si="1"/>
        <v>2</v>
      </c>
      <c r="L626" s="7">
        <f>IFERROR(__xludf.DUMMYFUNCTION("SPLIT(C626,""T""""Z"")"),44798.0)</f>
        <v>44798</v>
      </c>
      <c r="M626" s="8">
        <f>IFERROR(__xludf.DUMMYFUNCTION("""COMPUTED_VALUE"""),0.5760185185185185)</f>
        <v>0.5760185185</v>
      </c>
      <c r="N626" s="10">
        <f t="shared" si="2"/>
        <v>133.8244444</v>
      </c>
      <c r="O626" s="11">
        <f t="shared" si="3"/>
        <v>0.08480176211</v>
      </c>
    </row>
    <row r="627">
      <c r="A627" s="1" t="s">
        <v>1905</v>
      </c>
      <c r="B627" s="1" t="s">
        <v>1906</v>
      </c>
      <c r="C627" s="1" t="s">
        <v>1907</v>
      </c>
      <c r="D627" s="1">
        <v>0.0</v>
      </c>
      <c r="E627" s="13" t="s">
        <v>22</v>
      </c>
      <c r="F627" s="1">
        <v>258.0</v>
      </c>
      <c r="G627" s="1">
        <v>41.0</v>
      </c>
      <c r="H627" s="1">
        <v>41.0</v>
      </c>
      <c r="I627" s="7">
        <f>IFERROR(__xludf.DUMMYFUNCTION("SPLIT(B627,""T""""Z"")"),42117.0)</f>
        <v>42117</v>
      </c>
      <c r="J627" s="8">
        <f>IFERROR(__xludf.DUMMYFUNCTION("""COMPUTED_VALUE"""),0.4922800925925926)</f>
        <v>0.4922800926</v>
      </c>
      <c r="K627" s="9">
        <f t="shared" si="1"/>
        <v>7</v>
      </c>
      <c r="L627" s="7">
        <f>IFERROR(__xludf.DUMMYFUNCTION("SPLIT(C627,""T""""Z"")"),44798.0)</f>
        <v>44798</v>
      </c>
      <c r="M627" s="8">
        <f>IFERROR(__xludf.DUMMYFUNCTION("""COMPUTED_VALUE"""),0.5827199074074074)</f>
        <v>0.5827199074</v>
      </c>
      <c r="N627" s="12">
        <f t="shared" si="2"/>
        <v>133.9852778</v>
      </c>
      <c r="O627" s="11">
        <f t="shared" si="3"/>
        <v>1</v>
      </c>
    </row>
    <row r="628">
      <c r="A628" s="1" t="s">
        <v>1908</v>
      </c>
      <c r="B628" s="1" t="s">
        <v>1909</v>
      </c>
      <c r="C628" s="1" t="s">
        <v>1910</v>
      </c>
      <c r="D628" s="1">
        <v>0.0</v>
      </c>
      <c r="E628" s="1" t="s">
        <v>68</v>
      </c>
      <c r="F628" s="1">
        <v>104.0</v>
      </c>
      <c r="G628" s="1">
        <v>516.0</v>
      </c>
      <c r="H628" s="1">
        <v>410.0</v>
      </c>
      <c r="I628" s="7">
        <f>IFERROR(__xludf.DUMMYFUNCTION("SPLIT(B628,""T""""Z"")"),41573.0)</f>
        <v>41573</v>
      </c>
      <c r="J628" s="8">
        <f>IFERROR(__xludf.DUMMYFUNCTION("""COMPUTED_VALUE"""),0.6733449074074074)</f>
        <v>0.6733449074</v>
      </c>
      <c r="K628" s="9">
        <f t="shared" si="1"/>
        <v>8</v>
      </c>
      <c r="L628" s="7">
        <f>IFERROR(__xludf.DUMMYFUNCTION("SPLIT(C628,""T""""Z"")"),44798.0)</f>
        <v>44798</v>
      </c>
      <c r="M628" s="8">
        <f>IFERROR(__xludf.DUMMYFUNCTION("""COMPUTED_VALUE"""),0.5848842592592592)</f>
        <v>0.5848842593</v>
      </c>
      <c r="N628" s="10">
        <f t="shared" si="2"/>
        <v>134.0372222</v>
      </c>
      <c r="O628" s="11">
        <f t="shared" si="3"/>
        <v>0.7945736434</v>
      </c>
    </row>
    <row r="629">
      <c r="A629" s="1" t="s">
        <v>1911</v>
      </c>
      <c r="B629" s="1" t="s">
        <v>1912</v>
      </c>
      <c r="C629" s="1" t="s">
        <v>1913</v>
      </c>
      <c r="D629" s="1">
        <v>39.0</v>
      </c>
      <c r="E629" s="1" t="s">
        <v>38</v>
      </c>
      <c r="F629" s="1">
        <v>1179.0</v>
      </c>
      <c r="G629" s="1">
        <v>3737.0</v>
      </c>
      <c r="H629" s="1">
        <v>3391.0</v>
      </c>
      <c r="I629" s="7">
        <f>IFERROR(__xludf.DUMMYFUNCTION("SPLIT(B629,""T""""Z"")"),42755.0)</f>
        <v>42755</v>
      </c>
      <c r="J629" s="8">
        <f>IFERROR(__xludf.DUMMYFUNCTION("""COMPUTED_VALUE"""),0.030578703703703705)</f>
        <v>0.0305787037</v>
      </c>
      <c r="K629" s="9">
        <f t="shared" si="1"/>
        <v>5</v>
      </c>
      <c r="L629" s="7">
        <f>IFERROR(__xludf.DUMMYFUNCTION("SPLIT(C629,""T""""Z"")"),44798.0)</f>
        <v>44798</v>
      </c>
      <c r="M629" s="8">
        <f>IFERROR(__xludf.DUMMYFUNCTION("""COMPUTED_VALUE"""),0.5684143518518519)</f>
        <v>0.5684143519</v>
      </c>
      <c r="N629" s="10">
        <f t="shared" si="2"/>
        <v>133.6419444</v>
      </c>
      <c r="O629" s="11">
        <f t="shared" si="3"/>
        <v>0.9074123629</v>
      </c>
    </row>
    <row r="630">
      <c r="A630" s="1" t="s">
        <v>1914</v>
      </c>
      <c r="B630" s="1" t="s">
        <v>1915</v>
      </c>
      <c r="C630" s="1" t="s">
        <v>1916</v>
      </c>
      <c r="D630" s="1">
        <v>0.0</v>
      </c>
      <c r="E630" s="1" t="s">
        <v>351</v>
      </c>
      <c r="F630" s="1">
        <v>86.0</v>
      </c>
      <c r="G630" s="1">
        <v>710.0</v>
      </c>
      <c r="H630" s="1">
        <v>549.0</v>
      </c>
      <c r="I630" s="7">
        <f>IFERROR(__xludf.DUMMYFUNCTION("SPLIT(B630,""T""""Z"")"),40468.0)</f>
        <v>40468</v>
      </c>
      <c r="J630" s="8">
        <f>IFERROR(__xludf.DUMMYFUNCTION("""COMPUTED_VALUE"""),0.9707523148148148)</f>
        <v>0.9707523148</v>
      </c>
      <c r="K630" s="9">
        <f t="shared" si="1"/>
        <v>11</v>
      </c>
      <c r="L630" s="7">
        <f>IFERROR(__xludf.DUMMYFUNCTION("SPLIT(C630,""T""""Z"")"),44798.0)</f>
        <v>44798</v>
      </c>
      <c r="M630" s="8">
        <f>IFERROR(__xludf.DUMMYFUNCTION("""COMPUTED_VALUE"""),0.4180671296296296)</f>
        <v>0.4180671296</v>
      </c>
      <c r="N630" s="10">
        <f t="shared" si="2"/>
        <v>130.0336111</v>
      </c>
      <c r="O630" s="11">
        <f t="shared" si="3"/>
        <v>0.7732394366</v>
      </c>
    </row>
    <row r="631">
      <c r="A631" s="1" t="s">
        <v>1917</v>
      </c>
      <c r="B631" s="1" t="s">
        <v>1918</v>
      </c>
      <c r="C631" s="1" t="s">
        <v>1919</v>
      </c>
      <c r="D631" s="1">
        <v>0.0</v>
      </c>
      <c r="E631" s="1" t="s">
        <v>48</v>
      </c>
      <c r="F631" s="1">
        <v>114.0</v>
      </c>
      <c r="G631" s="1">
        <v>1033.0</v>
      </c>
      <c r="H631" s="1">
        <v>759.0</v>
      </c>
      <c r="I631" s="7">
        <f>IFERROR(__xludf.DUMMYFUNCTION("SPLIT(B631,""T""""Z"")"),40970.0)</f>
        <v>40970</v>
      </c>
      <c r="J631" s="8">
        <f>IFERROR(__xludf.DUMMYFUNCTION("""COMPUTED_VALUE"""),0.5406018518518518)</f>
        <v>0.5406018519</v>
      </c>
      <c r="K631" s="9">
        <f t="shared" si="1"/>
        <v>10</v>
      </c>
      <c r="L631" s="7">
        <f>IFERROR(__xludf.DUMMYFUNCTION("SPLIT(C631,""T""""Z"")"),44798.0)</f>
        <v>44798</v>
      </c>
      <c r="M631" s="8">
        <f>IFERROR(__xludf.DUMMYFUNCTION("""COMPUTED_VALUE"""),0.5457986111111112)</f>
        <v>0.5457986111</v>
      </c>
      <c r="N631" s="10">
        <f t="shared" si="2"/>
        <v>133.0991667</v>
      </c>
      <c r="O631" s="11">
        <f t="shared" si="3"/>
        <v>0.7347531462</v>
      </c>
    </row>
    <row r="632">
      <c r="A632" s="1" t="s">
        <v>1920</v>
      </c>
      <c r="B632" s="1" t="s">
        <v>1921</v>
      </c>
      <c r="C632" s="1" t="s">
        <v>1922</v>
      </c>
      <c r="D632" s="1">
        <v>0.0</v>
      </c>
      <c r="E632" s="1" t="s">
        <v>88</v>
      </c>
      <c r="F632" s="1">
        <v>10.0</v>
      </c>
      <c r="G632" s="1">
        <v>2304.0</v>
      </c>
      <c r="H632" s="1">
        <v>533.0</v>
      </c>
      <c r="I632" s="7">
        <f>IFERROR(__xludf.DUMMYFUNCTION("SPLIT(B632,""T""""Z"")"),41740.0)</f>
        <v>41740</v>
      </c>
      <c r="J632" s="8">
        <f>IFERROR(__xludf.DUMMYFUNCTION("""COMPUTED_VALUE"""),0.33282407407407405)</f>
        <v>0.3328240741</v>
      </c>
      <c r="K632" s="9">
        <f t="shared" si="1"/>
        <v>8</v>
      </c>
      <c r="L632" s="7">
        <f>IFERROR(__xludf.DUMMYFUNCTION("SPLIT(C632,""T""""Z"")"),44798.0)</f>
        <v>44798</v>
      </c>
      <c r="M632" s="8">
        <f>IFERROR(__xludf.DUMMYFUNCTION("""COMPUTED_VALUE"""),0.5922685185185185)</f>
        <v>0.5922685185</v>
      </c>
      <c r="N632" s="10">
        <f t="shared" si="2"/>
        <v>134.2144444</v>
      </c>
      <c r="O632" s="11">
        <f t="shared" si="3"/>
        <v>0.2313368056</v>
      </c>
    </row>
    <row r="633">
      <c r="A633" s="1" t="s">
        <v>1923</v>
      </c>
      <c r="B633" s="1" t="s">
        <v>1924</v>
      </c>
      <c r="C633" s="1" t="s">
        <v>1925</v>
      </c>
      <c r="D633" s="1">
        <v>4.0</v>
      </c>
      <c r="E633" s="1" t="s">
        <v>75</v>
      </c>
      <c r="F633" s="1">
        <v>158.0</v>
      </c>
      <c r="G633" s="1">
        <v>0.0</v>
      </c>
      <c r="H633" s="1">
        <v>0.0</v>
      </c>
      <c r="I633" s="7">
        <f>IFERROR(__xludf.DUMMYFUNCTION("SPLIT(B633,""T""""Z"")"),43473.0)</f>
        <v>43473</v>
      </c>
      <c r="J633" s="8">
        <f>IFERROR(__xludf.DUMMYFUNCTION("""COMPUTED_VALUE"""),0.37754629629629627)</f>
        <v>0.3775462963</v>
      </c>
      <c r="K633" s="9">
        <f t="shared" si="1"/>
        <v>3</v>
      </c>
      <c r="L633" s="7">
        <f>IFERROR(__xludf.DUMMYFUNCTION("SPLIT(C633,""T""""Z"")"),44798.0)</f>
        <v>44798</v>
      </c>
      <c r="M633" s="8">
        <f>IFERROR(__xludf.DUMMYFUNCTION("""COMPUTED_VALUE"""),0.5261342592592593)</f>
        <v>0.5261342593</v>
      </c>
      <c r="N633" s="10">
        <f t="shared" si="2"/>
        <v>132.6272222</v>
      </c>
      <c r="O633" s="11">
        <f t="shared" si="3"/>
        <v>0</v>
      </c>
    </row>
    <row r="634">
      <c r="A634" s="1" t="s">
        <v>1926</v>
      </c>
      <c r="B634" s="1" t="s">
        <v>1927</v>
      </c>
      <c r="C634" s="1" t="s">
        <v>1928</v>
      </c>
      <c r="D634" s="1">
        <v>4.0</v>
      </c>
      <c r="E634" s="1" t="s">
        <v>193</v>
      </c>
      <c r="F634" s="1">
        <v>13.0</v>
      </c>
      <c r="G634" s="1">
        <v>641.0</v>
      </c>
      <c r="H634" s="1">
        <v>407.0</v>
      </c>
      <c r="I634" s="7">
        <f>IFERROR(__xludf.DUMMYFUNCTION("SPLIT(B634,""T""""Z"")"),41478.0)</f>
        <v>41478</v>
      </c>
      <c r="J634" s="8">
        <f>IFERROR(__xludf.DUMMYFUNCTION("""COMPUTED_VALUE"""),0.9305208333333334)</f>
        <v>0.9305208333</v>
      </c>
      <c r="K634" s="9">
        <f t="shared" si="1"/>
        <v>9</v>
      </c>
      <c r="L634" s="7">
        <f>IFERROR(__xludf.DUMMYFUNCTION("SPLIT(C634,""T""""Z"")"),44798.0)</f>
        <v>44798</v>
      </c>
      <c r="M634" s="8">
        <f>IFERROR(__xludf.DUMMYFUNCTION("""COMPUTED_VALUE"""),0.058368055555555555)</f>
        <v>0.05836805556</v>
      </c>
      <c r="N634" s="10">
        <f t="shared" si="2"/>
        <v>121.4008333</v>
      </c>
      <c r="O634" s="11">
        <f t="shared" si="3"/>
        <v>0.6349453978</v>
      </c>
    </row>
    <row r="635">
      <c r="A635" s="1" t="s">
        <v>1929</v>
      </c>
      <c r="B635" s="1" t="s">
        <v>1930</v>
      </c>
      <c r="C635" s="1" t="s">
        <v>1931</v>
      </c>
      <c r="D635" s="1">
        <v>43.0</v>
      </c>
      <c r="E635" s="1" t="s">
        <v>52</v>
      </c>
      <c r="F635" s="1">
        <v>3083.0</v>
      </c>
      <c r="G635" s="1">
        <v>4510.0</v>
      </c>
      <c r="H635" s="1">
        <v>4241.0</v>
      </c>
      <c r="I635" s="7">
        <f>IFERROR(__xludf.DUMMYFUNCTION("SPLIT(B635,""T""""Z"")"),41676.0)</f>
        <v>41676</v>
      </c>
      <c r="J635" s="8">
        <f>IFERROR(__xludf.DUMMYFUNCTION("""COMPUTED_VALUE"""),0.7278125)</f>
        <v>0.7278125</v>
      </c>
      <c r="K635" s="9">
        <f t="shared" si="1"/>
        <v>8</v>
      </c>
      <c r="L635" s="7">
        <f>IFERROR(__xludf.DUMMYFUNCTION("SPLIT(C635,""T""""Z"")"),44798.0)</f>
        <v>44798</v>
      </c>
      <c r="M635" s="8">
        <f>IFERROR(__xludf.DUMMYFUNCTION("""COMPUTED_VALUE"""),0.5980555555555556)</f>
        <v>0.5980555556</v>
      </c>
      <c r="N635" s="10">
        <f t="shared" si="2"/>
        <v>134.3533333</v>
      </c>
      <c r="O635" s="11">
        <f t="shared" si="3"/>
        <v>0.9403547672</v>
      </c>
    </row>
    <row r="636">
      <c r="A636" s="1" t="s">
        <v>1932</v>
      </c>
      <c r="B636" s="1" t="s">
        <v>1933</v>
      </c>
      <c r="C636" s="1" t="s">
        <v>1934</v>
      </c>
      <c r="D636" s="1">
        <v>51.0</v>
      </c>
      <c r="E636" s="1" t="s">
        <v>48</v>
      </c>
      <c r="F636" s="1">
        <v>235.0</v>
      </c>
      <c r="G636" s="1">
        <v>2989.0</v>
      </c>
      <c r="H636" s="1">
        <v>2892.0</v>
      </c>
      <c r="I636" s="7">
        <f>IFERROR(__xludf.DUMMYFUNCTION("SPLIT(B636,""T""""Z"")"),41505.0)</f>
        <v>41505</v>
      </c>
      <c r="J636" s="8">
        <f>IFERROR(__xludf.DUMMYFUNCTION("""COMPUTED_VALUE"""),0.8502777777777778)</f>
        <v>0.8502777778</v>
      </c>
      <c r="K636" s="9">
        <f t="shared" si="1"/>
        <v>9</v>
      </c>
      <c r="L636" s="7">
        <f>IFERROR(__xludf.DUMMYFUNCTION("SPLIT(C636,""T""""Z"")"),44798.0)</f>
        <v>44798</v>
      </c>
      <c r="M636" s="8">
        <f>IFERROR(__xludf.DUMMYFUNCTION("""COMPUTED_VALUE"""),0.42791666666666667)</f>
        <v>0.4279166667</v>
      </c>
      <c r="N636" s="10">
        <f t="shared" si="2"/>
        <v>130.27</v>
      </c>
      <c r="O636" s="11">
        <f t="shared" si="3"/>
        <v>0.9675476748</v>
      </c>
    </row>
    <row r="637">
      <c r="A637" s="1" t="s">
        <v>1935</v>
      </c>
      <c r="B637" s="1" t="s">
        <v>1936</v>
      </c>
      <c r="C637" s="1" t="s">
        <v>1937</v>
      </c>
      <c r="D637" s="1">
        <v>0.0</v>
      </c>
      <c r="E637" s="13" t="s">
        <v>22</v>
      </c>
      <c r="F637" s="1">
        <v>0.0</v>
      </c>
      <c r="G637" s="1">
        <v>407.0</v>
      </c>
      <c r="H637" s="1">
        <v>132.0</v>
      </c>
      <c r="I637" s="7">
        <f>IFERROR(__xludf.DUMMYFUNCTION("SPLIT(B637,""T""""Z"")"),43989.0)</f>
        <v>43989</v>
      </c>
      <c r="J637" s="8">
        <f>IFERROR(__xludf.DUMMYFUNCTION("""COMPUTED_VALUE"""),0.11704861111111112)</f>
        <v>0.1170486111</v>
      </c>
      <c r="K637" s="9">
        <f t="shared" si="1"/>
        <v>2</v>
      </c>
      <c r="L637" s="7">
        <f>IFERROR(__xludf.DUMMYFUNCTION("SPLIT(C637,""T""""Z"")"),44798.0)</f>
        <v>44798</v>
      </c>
      <c r="M637" s="8">
        <f>IFERROR(__xludf.DUMMYFUNCTION("""COMPUTED_VALUE"""),0.6076736111111111)</f>
        <v>0.6076736111</v>
      </c>
      <c r="N637" s="12">
        <f t="shared" si="2"/>
        <v>134.5841667</v>
      </c>
      <c r="O637" s="11">
        <f t="shared" si="3"/>
        <v>0.3243243243</v>
      </c>
    </row>
    <row r="638">
      <c r="A638" s="1" t="s">
        <v>1938</v>
      </c>
      <c r="B638" s="1" t="s">
        <v>1939</v>
      </c>
      <c r="C638" s="1" t="s">
        <v>1940</v>
      </c>
      <c r="D638" s="1">
        <v>193.0</v>
      </c>
      <c r="E638" s="1" t="s">
        <v>95</v>
      </c>
      <c r="F638" s="1">
        <v>191.0</v>
      </c>
      <c r="G638" s="1">
        <v>3392.0</v>
      </c>
      <c r="H638" s="1">
        <v>2886.0</v>
      </c>
      <c r="I638" s="7">
        <f>IFERROR(__xludf.DUMMYFUNCTION("SPLIT(B638,""T""""Z"")"),42470.0)</f>
        <v>42470</v>
      </c>
      <c r="J638" s="8">
        <f>IFERROR(__xludf.DUMMYFUNCTION("""COMPUTED_VALUE"""),0.31957175925925924)</f>
        <v>0.3195717593</v>
      </c>
      <c r="K638" s="9">
        <f t="shared" si="1"/>
        <v>6</v>
      </c>
      <c r="L638" s="7">
        <f>IFERROR(__xludf.DUMMYFUNCTION("SPLIT(C638,""T""""Z"")"),44798.0)</f>
        <v>44798</v>
      </c>
      <c r="M638" s="8">
        <f>IFERROR(__xludf.DUMMYFUNCTION("""COMPUTED_VALUE"""),0.5619212962962963)</f>
        <v>0.5619212963</v>
      </c>
      <c r="N638" s="10">
        <f t="shared" si="2"/>
        <v>133.4861111</v>
      </c>
      <c r="O638" s="11">
        <f t="shared" si="3"/>
        <v>0.8508254717</v>
      </c>
    </row>
    <row r="639">
      <c r="A639" s="1" t="s">
        <v>1941</v>
      </c>
      <c r="B639" s="1" t="s">
        <v>1942</v>
      </c>
      <c r="C639" s="1" t="s">
        <v>1943</v>
      </c>
      <c r="D639" s="1">
        <v>48.0</v>
      </c>
      <c r="E639" s="1" t="s">
        <v>686</v>
      </c>
      <c r="F639" s="1">
        <v>489.0</v>
      </c>
      <c r="G639" s="1">
        <v>1072.0</v>
      </c>
      <c r="H639" s="1">
        <v>1016.0</v>
      </c>
      <c r="I639" s="7">
        <f>IFERROR(__xludf.DUMMYFUNCTION("SPLIT(B639,""T""""Z"")"),42649.0)</f>
        <v>42649</v>
      </c>
      <c r="J639" s="8">
        <f>IFERROR(__xludf.DUMMYFUNCTION("""COMPUTED_VALUE"""),0.9434953703703703)</f>
        <v>0.9434953704</v>
      </c>
      <c r="K639" s="9">
        <f t="shared" si="1"/>
        <v>5</v>
      </c>
      <c r="L639" s="7">
        <f>IFERROR(__xludf.DUMMYFUNCTION("SPLIT(C639,""T""""Z"")"),44798.0)</f>
        <v>44798</v>
      </c>
      <c r="M639" s="8">
        <f>IFERROR(__xludf.DUMMYFUNCTION("""COMPUTED_VALUE"""),0.4401967592592593)</f>
        <v>0.4401967593</v>
      </c>
      <c r="N639" s="10">
        <f t="shared" si="2"/>
        <v>130.5647222</v>
      </c>
      <c r="O639" s="11">
        <f t="shared" si="3"/>
        <v>0.947761194</v>
      </c>
    </row>
    <row r="640">
      <c r="A640" s="1" t="s">
        <v>1944</v>
      </c>
      <c r="B640" s="1" t="s">
        <v>1945</v>
      </c>
      <c r="C640" s="1" t="s">
        <v>1946</v>
      </c>
      <c r="D640" s="1">
        <v>0.0</v>
      </c>
      <c r="E640" s="1" t="s">
        <v>439</v>
      </c>
      <c r="F640" s="1">
        <v>2227.0</v>
      </c>
      <c r="G640" s="1">
        <v>0.0</v>
      </c>
      <c r="H640" s="1">
        <v>0.0</v>
      </c>
      <c r="I640" s="7">
        <f>IFERROR(__xludf.DUMMYFUNCTION("SPLIT(B640,""T""""Z"")"),40818.0)</f>
        <v>40818</v>
      </c>
      <c r="J640" s="8">
        <f>IFERROR(__xludf.DUMMYFUNCTION("""COMPUTED_VALUE"""),0.6843402777777777)</f>
        <v>0.6843402778</v>
      </c>
      <c r="K640" s="9">
        <f t="shared" si="1"/>
        <v>10</v>
      </c>
      <c r="L640" s="7">
        <f>IFERROR(__xludf.DUMMYFUNCTION("SPLIT(C640,""T""""Z"")"),44798.0)</f>
        <v>44798</v>
      </c>
      <c r="M640" s="8">
        <f>IFERROR(__xludf.DUMMYFUNCTION("""COMPUTED_VALUE"""),0.5843055555555555)</f>
        <v>0.5843055556</v>
      </c>
      <c r="N640" s="10">
        <f t="shared" si="2"/>
        <v>134.0233333</v>
      </c>
      <c r="O640" s="11">
        <f t="shared" si="3"/>
        <v>0</v>
      </c>
    </row>
    <row r="641">
      <c r="A641" s="1" t="s">
        <v>1947</v>
      </c>
      <c r="B641" s="1" t="s">
        <v>1948</v>
      </c>
      <c r="C641" s="1" t="s">
        <v>1949</v>
      </c>
      <c r="D641" s="1">
        <v>101.0</v>
      </c>
      <c r="E641" s="1" t="s">
        <v>52</v>
      </c>
      <c r="F641" s="1">
        <v>4.0</v>
      </c>
      <c r="G641" s="1">
        <v>954.0</v>
      </c>
      <c r="H641" s="1">
        <v>624.0</v>
      </c>
      <c r="I641" s="7">
        <f>IFERROR(__xludf.DUMMYFUNCTION("SPLIT(B641,""T""""Z"")"),41061.0)</f>
        <v>41061</v>
      </c>
      <c r="J641" s="8">
        <f>IFERROR(__xludf.DUMMYFUNCTION("""COMPUTED_VALUE"""),0.8674074074074074)</f>
        <v>0.8674074074</v>
      </c>
      <c r="K641" s="9">
        <f t="shared" si="1"/>
        <v>10</v>
      </c>
      <c r="L641" s="7">
        <f>IFERROR(__xludf.DUMMYFUNCTION("SPLIT(C641,""T""""Z"")"),44798.0)</f>
        <v>44798</v>
      </c>
      <c r="M641" s="8">
        <f>IFERROR(__xludf.DUMMYFUNCTION("""COMPUTED_VALUE"""),0.5717708333333333)</f>
        <v>0.5717708333</v>
      </c>
      <c r="N641" s="10">
        <f t="shared" si="2"/>
        <v>133.7225</v>
      </c>
      <c r="O641" s="11">
        <f t="shared" si="3"/>
        <v>0.6540880503</v>
      </c>
    </row>
    <row r="642">
      <c r="A642" s="1" t="s">
        <v>1950</v>
      </c>
      <c r="B642" s="1" t="s">
        <v>1951</v>
      </c>
      <c r="C642" s="1" t="s">
        <v>1952</v>
      </c>
      <c r="D642" s="1">
        <v>0.0</v>
      </c>
      <c r="E642" s="13" t="s">
        <v>22</v>
      </c>
      <c r="F642" s="1">
        <v>528.0</v>
      </c>
      <c r="G642" s="1">
        <v>46.0</v>
      </c>
      <c r="H642" s="1">
        <v>40.0</v>
      </c>
      <c r="I642" s="7">
        <f>IFERROR(__xludf.DUMMYFUNCTION("SPLIT(B642,""T""""Z"")"),42006.0)</f>
        <v>42006</v>
      </c>
      <c r="J642" s="8">
        <f>IFERROR(__xludf.DUMMYFUNCTION("""COMPUTED_VALUE"""),0.021921296296296296)</f>
        <v>0.0219212963</v>
      </c>
      <c r="K642" s="9">
        <f t="shared" si="1"/>
        <v>7</v>
      </c>
      <c r="L642" s="7">
        <f>IFERROR(__xludf.DUMMYFUNCTION("SPLIT(C642,""T""""Z"")"),44798.0)</f>
        <v>44798</v>
      </c>
      <c r="M642" s="8">
        <f>IFERROR(__xludf.DUMMYFUNCTION("""COMPUTED_VALUE"""),0.3153472222222222)</f>
        <v>0.3153472222</v>
      </c>
      <c r="N642" s="12">
        <f t="shared" si="2"/>
        <v>127.5683333</v>
      </c>
      <c r="O642" s="11">
        <f t="shared" si="3"/>
        <v>0.8695652174</v>
      </c>
    </row>
    <row r="643">
      <c r="A643" s="1" t="s">
        <v>1953</v>
      </c>
      <c r="B643" s="1" t="s">
        <v>1954</v>
      </c>
      <c r="C643" s="1" t="s">
        <v>1907</v>
      </c>
      <c r="D643" s="1">
        <v>0.0</v>
      </c>
      <c r="E643" s="1" t="s">
        <v>95</v>
      </c>
      <c r="F643" s="1">
        <v>5715.0</v>
      </c>
      <c r="G643" s="1">
        <v>0.0</v>
      </c>
      <c r="H643" s="1">
        <v>0.0</v>
      </c>
      <c r="I643" s="7">
        <f>IFERROR(__xludf.DUMMYFUNCTION("SPLIT(B643,""T""""Z"")"),40770.0)</f>
        <v>40770</v>
      </c>
      <c r="J643" s="8">
        <f>IFERROR(__xludf.DUMMYFUNCTION("""COMPUTED_VALUE"""),0.7543518518518518)</f>
        <v>0.7543518519</v>
      </c>
      <c r="K643" s="9">
        <f t="shared" si="1"/>
        <v>11</v>
      </c>
      <c r="L643" s="7">
        <f>IFERROR(__xludf.DUMMYFUNCTION("SPLIT(C643,""T""""Z"")"),44798.0)</f>
        <v>44798</v>
      </c>
      <c r="M643" s="8">
        <f>IFERROR(__xludf.DUMMYFUNCTION("""COMPUTED_VALUE"""),0.5827199074074074)</f>
        <v>0.5827199074</v>
      </c>
      <c r="N643" s="10">
        <f t="shared" si="2"/>
        <v>133.9852778</v>
      </c>
      <c r="O643" s="11">
        <f t="shared" si="3"/>
        <v>0</v>
      </c>
    </row>
    <row r="644">
      <c r="A644" s="1" t="s">
        <v>1955</v>
      </c>
      <c r="B644" s="1" t="s">
        <v>1956</v>
      </c>
      <c r="C644" s="1" t="s">
        <v>1957</v>
      </c>
      <c r="D644" s="1">
        <v>312.0</v>
      </c>
      <c r="E644" s="1" t="s">
        <v>18</v>
      </c>
      <c r="F644" s="1">
        <v>10133.0</v>
      </c>
      <c r="G644" s="1">
        <v>13316.0</v>
      </c>
      <c r="H644" s="1">
        <v>11677.0</v>
      </c>
      <c r="I644" s="7">
        <f>IFERROR(__xludf.DUMMYFUNCTION("SPLIT(B644,""T""""Z"")"),42373.0)</f>
        <v>42373</v>
      </c>
      <c r="J644" s="8">
        <f>IFERROR(__xludf.DUMMYFUNCTION("""COMPUTED_VALUE"""),0.7847453703703704)</f>
        <v>0.7847453704</v>
      </c>
      <c r="K644" s="9">
        <f t="shared" si="1"/>
        <v>6</v>
      </c>
      <c r="L644" s="7">
        <f>IFERROR(__xludf.DUMMYFUNCTION("SPLIT(C644,""T""""Z"")"),44798.0)</f>
        <v>44798</v>
      </c>
      <c r="M644" s="8">
        <f>IFERROR(__xludf.DUMMYFUNCTION("""COMPUTED_VALUE"""),0.35962962962962963)</f>
        <v>0.3596296296</v>
      </c>
      <c r="N644" s="10">
        <f t="shared" si="2"/>
        <v>128.6311111</v>
      </c>
      <c r="O644" s="11">
        <f t="shared" si="3"/>
        <v>0.8769149895</v>
      </c>
    </row>
    <row r="645">
      <c r="A645" s="1" t="s">
        <v>1958</v>
      </c>
      <c r="B645" s="1" t="s">
        <v>1959</v>
      </c>
      <c r="C645" s="1" t="s">
        <v>1960</v>
      </c>
      <c r="D645" s="1">
        <v>8.0</v>
      </c>
      <c r="E645" s="1" t="s">
        <v>38</v>
      </c>
      <c r="F645" s="1">
        <v>49.0</v>
      </c>
      <c r="G645" s="1">
        <v>257.0</v>
      </c>
      <c r="H645" s="1">
        <v>159.0</v>
      </c>
      <c r="I645" s="7">
        <f>IFERROR(__xludf.DUMMYFUNCTION("SPLIT(B645,""T""""Z"")"),42787.0)</f>
        <v>42787</v>
      </c>
      <c r="J645" s="8">
        <f>IFERROR(__xludf.DUMMYFUNCTION("""COMPUTED_VALUE"""),0.8993865740740741)</f>
        <v>0.8993865741</v>
      </c>
      <c r="K645" s="9">
        <f t="shared" si="1"/>
        <v>5</v>
      </c>
      <c r="L645" s="7">
        <f>IFERROR(__xludf.DUMMYFUNCTION("SPLIT(C645,""T""""Z"")"),44798.0)</f>
        <v>44798</v>
      </c>
      <c r="M645" s="8">
        <f>IFERROR(__xludf.DUMMYFUNCTION("""COMPUTED_VALUE"""),0.5875925925925926)</f>
        <v>0.5875925926</v>
      </c>
      <c r="N645" s="10">
        <f t="shared" si="2"/>
        <v>134.1022222</v>
      </c>
      <c r="O645" s="11">
        <f t="shared" si="3"/>
        <v>0.6186770428</v>
      </c>
    </row>
    <row r="646">
      <c r="A646" s="1" t="s">
        <v>1961</v>
      </c>
      <c r="B646" s="1" t="s">
        <v>1962</v>
      </c>
      <c r="C646" s="1" t="s">
        <v>1963</v>
      </c>
      <c r="D646" s="1">
        <v>79.0</v>
      </c>
      <c r="E646" s="1" t="s">
        <v>95</v>
      </c>
      <c r="F646" s="1">
        <v>672.0</v>
      </c>
      <c r="G646" s="1">
        <v>1021.0</v>
      </c>
      <c r="H646" s="1">
        <v>681.0</v>
      </c>
      <c r="I646" s="7">
        <f>IFERROR(__xludf.DUMMYFUNCTION("SPLIT(B646,""T""""Z"")"),41232.0)</f>
        <v>41232</v>
      </c>
      <c r="J646" s="8">
        <f>IFERROR(__xludf.DUMMYFUNCTION("""COMPUTED_VALUE"""),0.843587962962963)</f>
        <v>0.843587963</v>
      </c>
      <c r="K646" s="9">
        <f t="shared" si="1"/>
        <v>9</v>
      </c>
      <c r="L646" s="7">
        <f>IFERROR(__xludf.DUMMYFUNCTION("SPLIT(C646,""T""""Z"")"),44798.0)</f>
        <v>44798</v>
      </c>
      <c r="M646" s="8">
        <f>IFERROR(__xludf.DUMMYFUNCTION("""COMPUTED_VALUE"""),0.055601851851851854)</f>
        <v>0.05560185185</v>
      </c>
      <c r="N646" s="10">
        <f t="shared" si="2"/>
        <v>121.3344444</v>
      </c>
      <c r="O646" s="11">
        <f t="shared" si="3"/>
        <v>0.666993144</v>
      </c>
    </row>
    <row r="647">
      <c r="A647" s="1" t="s">
        <v>1964</v>
      </c>
      <c r="B647" s="1" t="s">
        <v>1965</v>
      </c>
      <c r="C647" s="1" t="s">
        <v>1966</v>
      </c>
      <c r="D647" s="1">
        <v>9.0</v>
      </c>
      <c r="E647" s="1" t="s">
        <v>88</v>
      </c>
      <c r="F647" s="1">
        <v>225.0</v>
      </c>
      <c r="G647" s="1">
        <v>1918.0</v>
      </c>
      <c r="H647" s="1">
        <v>1284.0</v>
      </c>
      <c r="I647" s="7">
        <f>IFERROR(__xludf.DUMMYFUNCTION("SPLIT(B647,""T""""Z"")"),41108.0)</f>
        <v>41108</v>
      </c>
      <c r="J647" s="8">
        <f>IFERROR(__xludf.DUMMYFUNCTION("""COMPUTED_VALUE"""),0.8315393518518519)</f>
        <v>0.8315393519</v>
      </c>
      <c r="K647" s="9">
        <f t="shared" si="1"/>
        <v>10</v>
      </c>
      <c r="L647" s="7">
        <f>IFERROR(__xludf.DUMMYFUNCTION("SPLIT(C647,""T""""Z"")"),44798.0)</f>
        <v>44798</v>
      </c>
      <c r="M647" s="8">
        <f>IFERROR(__xludf.DUMMYFUNCTION("""COMPUTED_VALUE"""),0.5661805555555556)</f>
        <v>0.5661805556</v>
      </c>
      <c r="N647" s="10">
        <f t="shared" si="2"/>
        <v>133.5883333</v>
      </c>
      <c r="O647" s="11">
        <f t="shared" si="3"/>
        <v>0.669447341</v>
      </c>
    </row>
    <row r="648">
      <c r="A648" s="1" t="s">
        <v>1967</v>
      </c>
      <c r="B648" s="1" t="s">
        <v>1968</v>
      </c>
      <c r="C648" s="1" t="s">
        <v>1969</v>
      </c>
      <c r="D648" s="1">
        <v>127.0</v>
      </c>
      <c r="E648" s="1" t="s">
        <v>18</v>
      </c>
      <c r="F648" s="1">
        <v>364.0</v>
      </c>
      <c r="G648" s="1">
        <v>1238.0</v>
      </c>
      <c r="H648" s="1">
        <v>1129.0</v>
      </c>
      <c r="I648" s="7">
        <f>IFERROR(__xludf.DUMMYFUNCTION("SPLIT(B648,""T""""Z"")"),43176.0)</f>
        <v>43176</v>
      </c>
      <c r="J648" s="8">
        <f>IFERROR(__xludf.DUMMYFUNCTION("""COMPUTED_VALUE"""),0.18344907407407407)</f>
        <v>0.1834490741</v>
      </c>
      <c r="K648" s="9">
        <f t="shared" si="1"/>
        <v>4</v>
      </c>
      <c r="L648" s="7">
        <f>IFERROR(__xludf.DUMMYFUNCTION("SPLIT(C648,""T""""Z"")"),44798.0)</f>
        <v>44798</v>
      </c>
      <c r="M648" s="8">
        <f>IFERROR(__xludf.DUMMYFUNCTION("""COMPUTED_VALUE"""),0.420150462962963)</f>
        <v>0.420150463</v>
      </c>
      <c r="N648" s="10">
        <f t="shared" si="2"/>
        <v>130.0836111</v>
      </c>
      <c r="O648" s="11">
        <f t="shared" si="3"/>
        <v>0.9119547658</v>
      </c>
    </row>
    <row r="649">
      <c r="A649" s="1" t="s">
        <v>1970</v>
      </c>
      <c r="B649" s="1" t="s">
        <v>1971</v>
      </c>
      <c r="C649" s="1" t="s">
        <v>1972</v>
      </c>
      <c r="D649" s="1">
        <v>0.0</v>
      </c>
      <c r="E649" s="1" t="s">
        <v>68</v>
      </c>
      <c r="F649" s="1">
        <v>527.0</v>
      </c>
      <c r="G649" s="1">
        <v>1140.0</v>
      </c>
      <c r="H649" s="1">
        <v>929.0</v>
      </c>
      <c r="I649" s="7">
        <f>IFERROR(__xludf.DUMMYFUNCTION("SPLIT(B649,""T""""Z"")"),41721.0)</f>
        <v>41721</v>
      </c>
      <c r="J649" s="8">
        <f>IFERROR(__xludf.DUMMYFUNCTION("""COMPUTED_VALUE"""),0.9141087962962963)</f>
        <v>0.9141087963</v>
      </c>
      <c r="K649" s="9">
        <f t="shared" si="1"/>
        <v>8</v>
      </c>
      <c r="L649" s="7">
        <f>IFERROR(__xludf.DUMMYFUNCTION("SPLIT(C649,""T""""Z"")"),44797.0)</f>
        <v>44797</v>
      </c>
      <c r="M649" s="8">
        <f>IFERROR(__xludf.DUMMYFUNCTION("""COMPUTED_VALUE"""),0.6881712962962963)</f>
        <v>0.6881712963</v>
      </c>
      <c r="N649" s="10">
        <f t="shared" si="2"/>
        <v>160.5161111</v>
      </c>
      <c r="O649" s="11">
        <f t="shared" si="3"/>
        <v>0.8149122807</v>
      </c>
    </row>
    <row r="650">
      <c r="A650" s="1" t="s">
        <v>1973</v>
      </c>
      <c r="B650" s="1" t="s">
        <v>1974</v>
      </c>
      <c r="C650" s="1" t="s">
        <v>1975</v>
      </c>
      <c r="D650" s="1">
        <v>17.0</v>
      </c>
      <c r="E650" s="1" t="s">
        <v>124</v>
      </c>
      <c r="F650" s="1">
        <v>66.0</v>
      </c>
      <c r="G650" s="1">
        <v>654.0</v>
      </c>
      <c r="H650" s="1">
        <v>587.0</v>
      </c>
      <c r="I650" s="7">
        <f>IFERROR(__xludf.DUMMYFUNCTION("SPLIT(B650,""T""""Z"")"),41902.0)</f>
        <v>41902</v>
      </c>
      <c r="J650" s="8">
        <f>IFERROR(__xludf.DUMMYFUNCTION("""COMPUTED_VALUE"""),0.6926851851851852)</f>
        <v>0.6926851852</v>
      </c>
      <c r="K650" s="9">
        <f t="shared" si="1"/>
        <v>7</v>
      </c>
      <c r="L650" s="7">
        <f>IFERROR(__xludf.DUMMYFUNCTION("SPLIT(C650,""T""""Z"")"),44798.0)</f>
        <v>44798</v>
      </c>
      <c r="M650" s="8">
        <f>IFERROR(__xludf.DUMMYFUNCTION("""COMPUTED_VALUE"""),0.5505555555555556)</f>
        <v>0.5505555556</v>
      </c>
      <c r="N650" s="10">
        <f t="shared" si="2"/>
        <v>133.2133333</v>
      </c>
      <c r="O650" s="11">
        <f t="shared" si="3"/>
        <v>0.8975535168</v>
      </c>
    </row>
    <row r="651">
      <c r="A651" s="1" t="s">
        <v>1976</v>
      </c>
      <c r="B651" s="1" t="s">
        <v>1977</v>
      </c>
      <c r="C651" s="1" t="s">
        <v>1978</v>
      </c>
      <c r="D651" s="1">
        <v>76.0</v>
      </c>
      <c r="E651" s="1" t="s">
        <v>18</v>
      </c>
      <c r="F651" s="1">
        <v>247.0</v>
      </c>
      <c r="G651" s="1">
        <v>1462.0</v>
      </c>
      <c r="H651" s="1">
        <v>1067.0</v>
      </c>
      <c r="I651" s="7">
        <f>IFERROR(__xludf.DUMMYFUNCTION("SPLIT(B651,""T""""Z"")"),41911.0)</f>
        <v>41911</v>
      </c>
      <c r="J651" s="8">
        <f>IFERROR(__xludf.DUMMYFUNCTION("""COMPUTED_VALUE"""),0.16119212962962962)</f>
        <v>0.1611921296</v>
      </c>
      <c r="K651" s="9">
        <f t="shared" si="1"/>
        <v>7</v>
      </c>
      <c r="L651" s="7">
        <f>IFERROR(__xludf.DUMMYFUNCTION("SPLIT(C651,""T""""Z"")"),44798.0)</f>
        <v>44798</v>
      </c>
      <c r="M651" s="8">
        <f>IFERROR(__xludf.DUMMYFUNCTION("""COMPUTED_VALUE"""),0.34019675925925924)</f>
        <v>0.3401967593</v>
      </c>
      <c r="N651" s="10">
        <f t="shared" si="2"/>
        <v>128.1647222</v>
      </c>
      <c r="O651" s="11">
        <f t="shared" si="3"/>
        <v>0.7298221614</v>
      </c>
    </row>
    <row r="652">
      <c r="A652" s="1" t="s">
        <v>1979</v>
      </c>
      <c r="B652" s="1" t="s">
        <v>1980</v>
      </c>
      <c r="C652" s="1" t="s">
        <v>1981</v>
      </c>
      <c r="D652" s="1">
        <v>24.0</v>
      </c>
      <c r="E652" s="1" t="s">
        <v>124</v>
      </c>
      <c r="F652" s="1">
        <v>216.0</v>
      </c>
      <c r="G652" s="1">
        <v>867.0</v>
      </c>
      <c r="H652" s="1">
        <v>796.0</v>
      </c>
      <c r="I652" s="7">
        <f>IFERROR(__xludf.DUMMYFUNCTION("SPLIT(B652,""T""""Z"")"),42399.0)</f>
        <v>42399</v>
      </c>
      <c r="J652" s="8">
        <f>IFERROR(__xludf.DUMMYFUNCTION("""COMPUTED_VALUE"""),0.1922222222222222)</f>
        <v>0.1922222222</v>
      </c>
      <c r="K652" s="9">
        <f t="shared" si="1"/>
        <v>6</v>
      </c>
      <c r="L652" s="7">
        <f>IFERROR(__xludf.DUMMYFUNCTION("SPLIT(C652,""T""""Z"")"),44798.0)</f>
        <v>44798</v>
      </c>
      <c r="M652" s="8">
        <f>IFERROR(__xludf.DUMMYFUNCTION("""COMPUTED_VALUE"""),0.5964699074074075)</f>
        <v>0.5964699074</v>
      </c>
      <c r="N652" s="10">
        <f t="shared" si="2"/>
        <v>134.3152778</v>
      </c>
      <c r="O652" s="11">
        <f t="shared" si="3"/>
        <v>0.9181084198</v>
      </c>
    </row>
    <row r="653">
      <c r="A653" s="1" t="s">
        <v>1982</v>
      </c>
      <c r="B653" s="1" t="s">
        <v>1983</v>
      </c>
      <c r="C653" s="1" t="s">
        <v>1984</v>
      </c>
      <c r="D653" s="1">
        <v>118.0</v>
      </c>
      <c r="E653" s="1" t="s">
        <v>38</v>
      </c>
      <c r="F653" s="1">
        <v>268.0</v>
      </c>
      <c r="G653" s="1">
        <v>844.0</v>
      </c>
      <c r="H653" s="1">
        <v>554.0</v>
      </c>
      <c r="I653" s="7">
        <f>IFERROR(__xludf.DUMMYFUNCTION("SPLIT(B653,""T""""Z"")"),42158.0)</f>
        <v>42158</v>
      </c>
      <c r="J653" s="8">
        <f>IFERROR(__xludf.DUMMYFUNCTION("""COMPUTED_VALUE"""),0.5508564814814815)</f>
        <v>0.5508564815</v>
      </c>
      <c r="K653" s="9">
        <f t="shared" si="1"/>
        <v>7</v>
      </c>
      <c r="L653" s="7">
        <f>IFERROR(__xludf.DUMMYFUNCTION("SPLIT(C653,""T""""Z"")"),44798.0)</f>
        <v>44798</v>
      </c>
      <c r="M653" s="8">
        <f>IFERROR(__xludf.DUMMYFUNCTION("""COMPUTED_VALUE"""),0.5746527777777778)</f>
        <v>0.5746527778</v>
      </c>
      <c r="N653" s="10">
        <f t="shared" si="2"/>
        <v>133.7916667</v>
      </c>
      <c r="O653" s="11">
        <f t="shared" si="3"/>
        <v>0.6563981043</v>
      </c>
    </row>
    <row r="654">
      <c r="A654" s="1" t="s">
        <v>1985</v>
      </c>
      <c r="B654" s="1" t="s">
        <v>1986</v>
      </c>
      <c r="C654" s="1" t="s">
        <v>1987</v>
      </c>
      <c r="D654" s="1">
        <v>82.0</v>
      </c>
      <c r="E654" s="1" t="s">
        <v>18</v>
      </c>
      <c r="F654" s="1">
        <v>1137.0</v>
      </c>
      <c r="G654" s="1">
        <v>1978.0</v>
      </c>
      <c r="H654" s="1">
        <v>1944.0</v>
      </c>
      <c r="I654" s="7">
        <f>IFERROR(__xludf.DUMMYFUNCTION("SPLIT(B654,""T""""Z"")"),42621.0)</f>
        <v>42621</v>
      </c>
      <c r="J654" s="8">
        <f>IFERROR(__xludf.DUMMYFUNCTION("""COMPUTED_VALUE"""),0.5983912037037037)</f>
        <v>0.5983912037</v>
      </c>
      <c r="K654" s="9">
        <f t="shared" si="1"/>
        <v>5</v>
      </c>
      <c r="L654" s="7">
        <f>IFERROR(__xludf.DUMMYFUNCTION("SPLIT(C654,""T""""Z"")"),44798.0)</f>
        <v>44798</v>
      </c>
      <c r="M654" s="8">
        <f>IFERROR(__xludf.DUMMYFUNCTION("""COMPUTED_VALUE"""),0.559224537037037)</f>
        <v>0.559224537</v>
      </c>
      <c r="N654" s="10">
        <f t="shared" si="2"/>
        <v>133.4213889</v>
      </c>
      <c r="O654" s="11">
        <f t="shared" si="3"/>
        <v>0.9828109201</v>
      </c>
    </row>
    <row r="655">
      <c r="A655" s="1" t="s">
        <v>1988</v>
      </c>
      <c r="B655" s="1" t="s">
        <v>1989</v>
      </c>
      <c r="C655" s="1" t="s">
        <v>1990</v>
      </c>
      <c r="D655" s="1">
        <v>0.0</v>
      </c>
      <c r="E655" s="1" t="s">
        <v>95</v>
      </c>
      <c r="F655" s="1">
        <v>238.0</v>
      </c>
      <c r="G655" s="1">
        <v>9734.0</v>
      </c>
      <c r="H655" s="1">
        <v>9505.0</v>
      </c>
      <c r="I655" s="7">
        <f>IFERROR(__xludf.DUMMYFUNCTION("SPLIT(B655,""T""""Z"")"),40892.0)</f>
        <v>40892</v>
      </c>
      <c r="J655" s="8">
        <f>IFERROR(__xludf.DUMMYFUNCTION("""COMPUTED_VALUE"""),0.8341666666666666)</f>
        <v>0.8341666667</v>
      </c>
      <c r="K655" s="9">
        <f t="shared" si="1"/>
        <v>10</v>
      </c>
      <c r="L655" s="7">
        <f>IFERROR(__xludf.DUMMYFUNCTION("SPLIT(C655,""T""""Z"")"),44798.0)</f>
        <v>44798</v>
      </c>
      <c r="M655" s="8">
        <f>IFERROR(__xludf.DUMMYFUNCTION("""COMPUTED_VALUE"""),0.5562384259259259)</f>
        <v>0.5562384259</v>
      </c>
      <c r="N655" s="10">
        <f t="shared" si="2"/>
        <v>133.3497222</v>
      </c>
      <c r="O655" s="11">
        <f t="shared" si="3"/>
        <v>0.9764742141</v>
      </c>
    </row>
    <row r="656">
      <c r="A656" s="1" t="s">
        <v>1991</v>
      </c>
      <c r="B656" s="1" t="s">
        <v>1992</v>
      </c>
      <c r="C656" s="1" t="s">
        <v>1993</v>
      </c>
      <c r="D656" s="1">
        <v>270.0</v>
      </c>
      <c r="E656" s="1" t="s">
        <v>48</v>
      </c>
      <c r="F656" s="1">
        <v>1578.0</v>
      </c>
      <c r="G656" s="1">
        <v>2674.0</v>
      </c>
      <c r="H656" s="1">
        <v>2224.0</v>
      </c>
      <c r="I656" s="7">
        <f>IFERROR(__xludf.DUMMYFUNCTION("SPLIT(B656,""T""""Z"")"),42483.0)</f>
        <v>42483</v>
      </c>
      <c r="J656" s="8">
        <f>IFERROR(__xludf.DUMMYFUNCTION("""COMPUTED_VALUE"""),0.16280092592592593)</f>
        <v>0.1628009259</v>
      </c>
      <c r="K656" s="9">
        <f t="shared" si="1"/>
        <v>6</v>
      </c>
      <c r="L656" s="7">
        <f>IFERROR(__xludf.DUMMYFUNCTION("SPLIT(C656,""T""""Z"")"),44798.0)</f>
        <v>44798</v>
      </c>
      <c r="M656" s="8">
        <f>IFERROR(__xludf.DUMMYFUNCTION("""COMPUTED_VALUE"""),0.6051157407407407)</f>
        <v>0.6051157407</v>
      </c>
      <c r="N656" s="10">
        <f t="shared" si="2"/>
        <v>134.5227778</v>
      </c>
      <c r="O656" s="11">
        <f t="shared" si="3"/>
        <v>0.8317127898</v>
      </c>
    </row>
    <row r="657">
      <c r="A657" s="1" t="s">
        <v>1994</v>
      </c>
      <c r="B657" s="1" t="s">
        <v>1995</v>
      </c>
      <c r="C657" s="1" t="s">
        <v>1150</v>
      </c>
      <c r="D657" s="1">
        <v>95.0</v>
      </c>
      <c r="E657" s="1" t="s">
        <v>124</v>
      </c>
      <c r="F657" s="1">
        <v>2671.0</v>
      </c>
      <c r="G657" s="1">
        <v>4317.0</v>
      </c>
      <c r="H657" s="1">
        <v>3519.0</v>
      </c>
      <c r="I657" s="7">
        <f>IFERROR(__xludf.DUMMYFUNCTION("SPLIT(B657,""T""""Z"")"),42509.0)</f>
        <v>42509</v>
      </c>
      <c r="J657" s="8">
        <f>IFERROR(__xludf.DUMMYFUNCTION("""COMPUTED_VALUE"""),0.8440740740740741)</f>
        <v>0.8440740741</v>
      </c>
      <c r="K657" s="9">
        <f t="shared" si="1"/>
        <v>6</v>
      </c>
      <c r="L657" s="7">
        <f>IFERROR(__xludf.DUMMYFUNCTION("SPLIT(C657,""T""""Z"")"),44798.0)</f>
        <v>44798</v>
      </c>
      <c r="M657" s="8">
        <f>IFERROR(__xludf.DUMMYFUNCTION("""COMPUTED_VALUE"""),0.5488657407407408)</f>
        <v>0.5488657407</v>
      </c>
      <c r="N657" s="10">
        <f t="shared" si="2"/>
        <v>133.1727778</v>
      </c>
      <c r="O657" s="11">
        <f t="shared" si="3"/>
        <v>0.8151494093</v>
      </c>
    </row>
    <row r="658">
      <c r="A658" s="1" t="s">
        <v>1996</v>
      </c>
      <c r="B658" s="1" t="s">
        <v>1997</v>
      </c>
      <c r="C658" s="1" t="s">
        <v>1998</v>
      </c>
      <c r="D658" s="1">
        <v>33.0</v>
      </c>
      <c r="E658" s="1" t="s">
        <v>95</v>
      </c>
      <c r="F658" s="1">
        <v>1523.0</v>
      </c>
      <c r="G658" s="1">
        <v>2783.0</v>
      </c>
      <c r="H658" s="1">
        <v>2149.0</v>
      </c>
      <c r="I658" s="7">
        <f>IFERROR(__xludf.DUMMYFUNCTION("SPLIT(B658,""T""""Z"")"),43462.0)</f>
        <v>43462</v>
      </c>
      <c r="J658" s="8">
        <f>IFERROR(__xludf.DUMMYFUNCTION("""COMPUTED_VALUE"""),0.3592824074074074)</f>
        <v>0.3592824074</v>
      </c>
      <c r="K658" s="9">
        <f t="shared" si="1"/>
        <v>3</v>
      </c>
      <c r="L658" s="7">
        <f>IFERROR(__xludf.DUMMYFUNCTION("SPLIT(C658,""T""""Z"")"),44798.0)</f>
        <v>44798</v>
      </c>
      <c r="M658" s="8">
        <f>IFERROR(__xludf.DUMMYFUNCTION("""COMPUTED_VALUE"""),0.5461458333333333)</f>
        <v>0.5461458333</v>
      </c>
      <c r="N658" s="10">
        <f t="shared" si="2"/>
        <v>133.1075</v>
      </c>
      <c r="O658" s="11">
        <f t="shared" si="3"/>
        <v>0.772188286</v>
      </c>
    </row>
    <row r="659">
      <c r="A659" s="1" t="s">
        <v>1999</v>
      </c>
      <c r="B659" s="1" t="s">
        <v>2000</v>
      </c>
      <c r="C659" s="1" t="s">
        <v>2001</v>
      </c>
      <c r="D659" s="1">
        <v>3.0</v>
      </c>
      <c r="E659" s="1" t="s">
        <v>88</v>
      </c>
      <c r="F659" s="1">
        <v>1549.0</v>
      </c>
      <c r="G659" s="1">
        <v>6898.0</v>
      </c>
      <c r="H659" s="1">
        <v>6494.0</v>
      </c>
      <c r="I659" s="7">
        <f>IFERROR(__xludf.DUMMYFUNCTION("SPLIT(B659,""T""""Z"")"),42984.0)</f>
        <v>42984</v>
      </c>
      <c r="J659" s="8">
        <f>IFERROR(__xludf.DUMMYFUNCTION("""COMPUTED_VALUE"""),0.3187847222222222)</f>
        <v>0.3187847222</v>
      </c>
      <c r="K659" s="9">
        <f t="shared" si="1"/>
        <v>4</v>
      </c>
      <c r="L659" s="7">
        <f>IFERROR(__xludf.DUMMYFUNCTION("SPLIT(C659,""T""""Z"")"),44798.0)</f>
        <v>44798</v>
      </c>
      <c r="M659" s="8">
        <f>IFERROR(__xludf.DUMMYFUNCTION("""COMPUTED_VALUE"""),0.5731018518518518)</f>
        <v>0.5731018519</v>
      </c>
      <c r="N659" s="10">
        <f t="shared" si="2"/>
        <v>133.7544444</v>
      </c>
      <c r="O659" s="11">
        <f t="shared" si="3"/>
        <v>0.9414322992</v>
      </c>
    </row>
    <row r="660">
      <c r="A660" s="1" t="s">
        <v>2002</v>
      </c>
      <c r="B660" s="1" t="s">
        <v>2003</v>
      </c>
      <c r="C660" s="1" t="s">
        <v>2004</v>
      </c>
      <c r="D660" s="1">
        <v>46.0</v>
      </c>
      <c r="E660" s="1" t="s">
        <v>621</v>
      </c>
      <c r="F660" s="1">
        <v>1596.0</v>
      </c>
      <c r="G660" s="1">
        <v>1651.0</v>
      </c>
      <c r="H660" s="1">
        <v>1546.0</v>
      </c>
      <c r="I660" s="7">
        <f>IFERROR(__xludf.DUMMYFUNCTION("SPLIT(B660,""T""""Z"")"),42987.0)</f>
        <v>42987</v>
      </c>
      <c r="J660" s="8">
        <f>IFERROR(__xludf.DUMMYFUNCTION("""COMPUTED_VALUE"""),0.7386111111111111)</f>
        <v>0.7386111111</v>
      </c>
      <c r="K660" s="9">
        <f t="shared" si="1"/>
        <v>4</v>
      </c>
      <c r="L660" s="7">
        <f>IFERROR(__xludf.DUMMYFUNCTION("SPLIT(C660,""T""""Z"")"),44798.0)</f>
        <v>44798</v>
      </c>
      <c r="M660" s="8">
        <f>IFERROR(__xludf.DUMMYFUNCTION("""COMPUTED_VALUE"""),0.38755787037037037)</f>
        <v>0.3875578704</v>
      </c>
      <c r="N660" s="10">
        <f t="shared" si="2"/>
        <v>129.3013889</v>
      </c>
      <c r="O660" s="11">
        <f t="shared" si="3"/>
        <v>0.9364021805</v>
      </c>
    </row>
    <row r="661">
      <c r="A661" s="1" t="s">
        <v>2005</v>
      </c>
      <c r="B661" s="1" t="s">
        <v>2006</v>
      </c>
      <c r="C661" s="1" t="s">
        <v>2007</v>
      </c>
      <c r="D661" s="1">
        <v>0.0</v>
      </c>
      <c r="E661" s="1" t="s">
        <v>38</v>
      </c>
      <c r="F661" s="1">
        <v>14.0</v>
      </c>
      <c r="G661" s="1">
        <v>0.0</v>
      </c>
      <c r="H661" s="1">
        <v>0.0</v>
      </c>
      <c r="I661" s="7">
        <f>IFERROR(__xludf.DUMMYFUNCTION("SPLIT(B661,""T""""Z"")"),44171.0)</f>
        <v>44171</v>
      </c>
      <c r="J661" s="8">
        <f>IFERROR(__xludf.DUMMYFUNCTION("""COMPUTED_VALUE"""),0.5271759259259259)</f>
        <v>0.5271759259</v>
      </c>
      <c r="K661" s="9">
        <f t="shared" si="1"/>
        <v>1</v>
      </c>
      <c r="L661" s="7">
        <f>IFERROR(__xludf.DUMMYFUNCTION("SPLIT(C661,""T""""Z"")"),44798.0)</f>
        <v>44798</v>
      </c>
      <c r="M661" s="8">
        <f>IFERROR(__xludf.DUMMYFUNCTION("""COMPUTED_VALUE"""),0.47847222222222224)</f>
        <v>0.4784722222</v>
      </c>
      <c r="N661" s="10">
        <f t="shared" si="2"/>
        <v>131.4833333</v>
      </c>
      <c r="O661" s="11">
        <f t="shared" si="3"/>
        <v>0</v>
      </c>
    </row>
    <row r="662">
      <c r="A662" s="1" t="s">
        <v>2008</v>
      </c>
      <c r="B662" s="1" t="s">
        <v>2009</v>
      </c>
      <c r="C662" s="1" t="s">
        <v>2010</v>
      </c>
      <c r="D662" s="1">
        <v>30.0</v>
      </c>
      <c r="E662" s="1" t="s">
        <v>124</v>
      </c>
      <c r="F662" s="1">
        <v>652.0</v>
      </c>
      <c r="G662" s="1">
        <v>612.0</v>
      </c>
      <c r="H662" s="1">
        <v>560.0</v>
      </c>
      <c r="I662" s="7">
        <f>IFERROR(__xludf.DUMMYFUNCTION("SPLIT(B662,""T""""Z"")"),41041.0)</f>
        <v>41041</v>
      </c>
      <c r="J662" s="8">
        <f>IFERROR(__xludf.DUMMYFUNCTION("""COMPUTED_VALUE"""),0.6091203703703704)</f>
        <v>0.6091203704</v>
      </c>
      <c r="K662" s="9">
        <f t="shared" si="1"/>
        <v>10</v>
      </c>
      <c r="L662" s="7">
        <f>IFERROR(__xludf.DUMMYFUNCTION("SPLIT(C662,""T""""Z"")"),44798.0)</f>
        <v>44798</v>
      </c>
      <c r="M662" s="8">
        <f>IFERROR(__xludf.DUMMYFUNCTION("""COMPUTED_VALUE"""),0.6103240740740741)</f>
        <v>0.6103240741</v>
      </c>
      <c r="N662" s="10">
        <f t="shared" si="2"/>
        <v>134.6477778</v>
      </c>
      <c r="O662" s="11">
        <f t="shared" si="3"/>
        <v>0.9150326797</v>
      </c>
    </row>
    <row r="663">
      <c r="A663" s="1" t="s">
        <v>2011</v>
      </c>
      <c r="B663" s="1" t="s">
        <v>2012</v>
      </c>
      <c r="C663" s="1" t="s">
        <v>2013</v>
      </c>
      <c r="D663" s="1">
        <v>16.0</v>
      </c>
      <c r="E663" s="1" t="s">
        <v>439</v>
      </c>
      <c r="F663" s="1">
        <v>750.0</v>
      </c>
      <c r="G663" s="1">
        <v>4107.0</v>
      </c>
      <c r="H663" s="1">
        <v>3961.0</v>
      </c>
      <c r="I663" s="7">
        <f>IFERROR(__xludf.DUMMYFUNCTION("SPLIT(B663,""T""""Z"")"),40072.0)</f>
        <v>40072</v>
      </c>
      <c r="J663" s="8">
        <f>IFERROR(__xludf.DUMMYFUNCTION("""COMPUTED_VALUE"""),0.5105555555555555)</f>
        <v>0.5105555556</v>
      </c>
      <c r="K663" s="9">
        <f t="shared" si="1"/>
        <v>12</v>
      </c>
      <c r="L663" s="7">
        <f>IFERROR(__xludf.DUMMYFUNCTION("SPLIT(C663,""T""""Z"")"),44798.0)</f>
        <v>44798</v>
      </c>
      <c r="M663" s="8">
        <f>IFERROR(__xludf.DUMMYFUNCTION("""COMPUTED_VALUE"""),0.5730555555555555)</f>
        <v>0.5730555556</v>
      </c>
      <c r="N663" s="10">
        <f t="shared" si="2"/>
        <v>133.7533333</v>
      </c>
      <c r="O663" s="11">
        <f t="shared" si="3"/>
        <v>0.9644509374</v>
      </c>
    </row>
    <row r="664">
      <c r="A664" s="1" t="s">
        <v>2014</v>
      </c>
      <c r="B664" s="1" t="s">
        <v>2015</v>
      </c>
      <c r="C664" s="1" t="s">
        <v>2016</v>
      </c>
      <c r="D664" s="1">
        <v>0.0</v>
      </c>
      <c r="E664" s="13" t="s">
        <v>22</v>
      </c>
      <c r="F664" s="1">
        <v>49.0</v>
      </c>
      <c r="G664" s="1">
        <v>51.0</v>
      </c>
      <c r="H664" s="1">
        <v>48.0</v>
      </c>
      <c r="I664" s="7">
        <f>IFERROR(__xludf.DUMMYFUNCTION("SPLIT(B664,""T""""Z"")"),42245.0)</f>
        <v>42245</v>
      </c>
      <c r="J664" s="8">
        <f>IFERROR(__xludf.DUMMYFUNCTION("""COMPUTED_VALUE"""),0.5201736111111112)</f>
        <v>0.5201736111</v>
      </c>
      <c r="K664" s="9">
        <f t="shared" si="1"/>
        <v>7</v>
      </c>
      <c r="L664" s="7">
        <f>IFERROR(__xludf.DUMMYFUNCTION("SPLIT(C664,""T""""Z"")"),44798.0)</f>
        <v>44798</v>
      </c>
      <c r="M664" s="8">
        <f>IFERROR(__xludf.DUMMYFUNCTION("""COMPUTED_VALUE"""),0.588912037037037)</f>
        <v>0.588912037</v>
      </c>
      <c r="N664" s="12">
        <f t="shared" si="2"/>
        <v>134.1338889</v>
      </c>
      <c r="O664" s="11">
        <f t="shared" si="3"/>
        <v>0.9411764706</v>
      </c>
    </row>
    <row r="665">
      <c r="A665" s="1" t="s">
        <v>2017</v>
      </c>
      <c r="B665" s="1" t="s">
        <v>2018</v>
      </c>
      <c r="C665" s="1" t="s">
        <v>2019</v>
      </c>
      <c r="D665" s="1">
        <v>235.0</v>
      </c>
      <c r="E665" s="1" t="s">
        <v>18</v>
      </c>
      <c r="F665" s="1">
        <v>622.0</v>
      </c>
      <c r="G665" s="1">
        <v>918.0</v>
      </c>
      <c r="H665" s="1">
        <v>901.0</v>
      </c>
      <c r="I665" s="7">
        <f>IFERROR(__xludf.DUMMYFUNCTION("SPLIT(B665,""T""""Z"")"),42458.0)</f>
        <v>42458</v>
      </c>
      <c r="J665" s="8">
        <f>IFERROR(__xludf.DUMMYFUNCTION("""COMPUTED_VALUE"""),0.7088773148148149)</f>
        <v>0.7088773148</v>
      </c>
      <c r="K665" s="9">
        <f t="shared" si="1"/>
        <v>6</v>
      </c>
      <c r="L665" s="7">
        <f>IFERROR(__xludf.DUMMYFUNCTION("SPLIT(C665,""T""""Z"")"),44798.0)</f>
        <v>44798</v>
      </c>
      <c r="M665" s="8">
        <f>IFERROR(__xludf.DUMMYFUNCTION("""COMPUTED_VALUE"""),0.6066319444444445)</f>
        <v>0.6066319444</v>
      </c>
      <c r="N665" s="10">
        <f t="shared" si="2"/>
        <v>134.5591667</v>
      </c>
      <c r="O665" s="11">
        <f t="shared" si="3"/>
        <v>0.9814814815</v>
      </c>
    </row>
    <row r="666">
      <c r="A666" s="1" t="s">
        <v>2020</v>
      </c>
      <c r="B666" s="1" t="s">
        <v>2021</v>
      </c>
      <c r="C666" s="1" t="s">
        <v>2022</v>
      </c>
      <c r="D666" s="1">
        <v>1.0</v>
      </c>
      <c r="E666" s="13" t="s">
        <v>22</v>
      </c>
      <c r="F666" s="1">
        <v>817.0</v>
      </c>
      <c r="G666" s="1">
        <v>114.0</v>
      </c>
      <c r="H666" s="1">
        <v>114.0</v>
      </c>
      <c r="I666" s="7">
        <f>IFERROR(__xludf.DUMMYFUNCTION("SPLIT(B666,""T""""Z"")"),41903.0)</f>
        <v>41903</v>
      </c>
      <c r="J666" s="8">
        <f>IFERROR(__xludf.DUMMYFUNCTION("""COMPUTED_VALUE"""),0.7095833333333333)</f>
        <v>0.7095833333</v>
      </c>
      <c r="K666" s="9">
        <f t="shared" si="1"/>
        <v>7</v>
      </c>
      <c r="L666" s="7">
        <f>IFERROR(__xludf.DUMMYFUNCTION("SPLIT(C666,""T""""Z"")"),44798.0)</f>
        <v>44798</v>
      </c>
      <c r="M666" s="8">
        <f>IFERROR(__xludf.DUMMYFUNCTION("""COMPUTED_VALUE"""),0.540787037037037)</f>
        <v>0.540787037</v>
      </c>
      <c r="N666" s="12">
        <f t="shared" si="2"/>
        <v>132.9788889</v>
      </c>
      <c r="O666" s="11">
        <f t="shared" si="3"/>
        <v>1</v>
      </c>
    </row>
    <row r="667">
      <c r="A667" s="1" t="s">
        <v>2023</v>
      </c>
      <c r="B667" s="1" t="s">
        <v>2024</v>
      </c>
      <c r="C667" s="1" t="s">
        <v>2025</v>
      </c>
      <c r="D667" s="1">
        <v>0.0</v>
      </c>
      <c r="E667" s="1" t="s">
        <v>88</v>
      </c>
      <c r="F667" s="1">
        <v>8297.0</v>
      </c>
      <c r="G667" s="1">
        <v>7663.0</v>
      </c>
      <c r="H667" s="1">
        <v>6576.0</v>
      </c>
      <c r="I667" s="7">
        <f>IFERROR(__xludf.DUMMYFUNCTION("SPLIT(B667,""T""""Z"")"),40586.0)</f>
        <v>40586</v>
      </c>
      <c r="J667" s="8">
        <f>IFERROR(__xludf.DUMMYFUNCTION("""COMPUTED_VALUE"""),0.22465277777777778)</f>
        <v>0.2246527778</v>
      </c>
      <c r="K667" s="9">
        <f t="shared" si="1"/>
        <v>11</v>
      </c>
      <c r="L667" s="7">
        <f>IFERROR(__xludf.DUMMYFUNCTION("SPLIT(C667,""T""""Z"")"),44798.0)</f>
        <v>44798</v>
      </c>
      <c r="M667" s="8">
        <f>IFERROR(__xludf.DUMMYFUNCTION("""COMPUTED_VALUE"""),0.5226736111111111)</f>
        <v>0.5226736111</v>
      </c>
      <c r="N667" s="10">
        <f t="shared" si="2"/>
        <v>132.5441667</v>
      </c>
      <c r="O667" s="11">
        <f t="shared" si="3"/>
        <v>0.8581495498</v>
      </c>
    </row>
    <row r="668">
      <c r="A668" s="1" t="s">
        <v>2026</v>
      </c>
      <c r="B668" s="1" t="s">
        <v>2027</v>
      </c>
      <c r="C668" s="1" t="s">
        <v>2028</v>
      </c>
      <c r="D668" s="1">
        <v>59.0</v>
      </c>
      <c r="E668" s="1" t="s">
        <v>124</v>
      </c>
      <c r="F668" s="1">
        <v>74.0</v>
      </c>
      <c r="G668" s="1">
        <v>1000.0</v>
      </c>
      <c r="H668" s="1">
        <v>657.0</v>
      </c>
      <c r="I668" s="7">
        <f>IFERROR(__xludf.DUMMYFUNCTION("SPLIT(B668,""T""""Z"")"),43408.0)</f>
        <v>43408</v>
      </c>
      <c r="J668" s="8">
        <f>IFERROR(__xludf.DUMMYFUNCTION("""COMPUTED_VALUE"""),0.5575347222222222)</f>
        <v>0.5575347222</v>
      </c>
      <c r="K668" s="9">
        <f t="shared" si="1"/>
        <v>3</v>
      </c>
      <c r="L668" s="7">
        <f>IFERROR(__xludf.DUMMYFUNCTION("SPLIT(C668,""T""""Z"")"),44798.0)</f>
        <v>44798</v>
      </c>
      <c r="M668" s="8">
        <f>IFERROR(__xludf.DUMMYFUNCTION("""COMPUTED_VALUE"""),0.5386458333333334)</f>
        <v>0.5386458333</v>
      </c>
      <c r="N668" s="10">
        <f t="shared" si="2"/>
        <v>132.9275</v>
      </c>
      <c r="O668" s="11">
        <f t="shared" si="3"/>
        <v>0.657</v>
      </c>
    </row>
    <row r="669">
      <c r="A669" s="1" t="s">
        <v>2029</v>
      </c>
      <c r="B669" s="1" t="s">
        <v>2030</v>
      </c>
      <c r="C669" s="1" t="s">
        <v>2031</v>
      </c>
      <c r="D669" s="1">
        <v>22.0</v>
      </c>
      <c r="E669" s="1" t="s">
        <v>897</v>
      </c>
      <c r="F669" s="1">
        <v>193.0</v>
      </c>
      <c r="G669" s="1">
        <v>1150.0</v>
      </c>
      <c r="H669" s="1">
        <v>1138.0</v>
      </c>
      <c r="I669" s="7">
        <f>IFERROR(__xludf.DUMMYFUNCTION("SPLIT(B669,""T""""Z"")"),41869.0)</f>
        <v>41869</v>
      </c>
      <c r="J669" s="8">
        <f>IFERROR(__xludf.DUMMYFUNCTION("""COMPUTED_VALUE"""),0.49583333333333335)</f>
        <v>0.4958333333</v>
      </c>
      <c r="K669" s="9">
        <f t="shared" si="1"/>
        <v>8</v>
      </c>
      <c r="L669" s="7">
        <f>IFERROR(__xludf.DUMMYFUNCTION("SPLIT(C669,""T""""Z"")"),44798.0)</f>
        <v>44798</v>
      </c>
      <c r="M669" s="8">
        <f>IFERROR(__xludf.DUMMYFUNCTION("""COMPUTED_VALUE"""),0.5333217592592593)</f>
        <v>0.5333217593</v>
      </c>
      <c r="N669" s="10">
        <f t="shared" si="2"/>
        <v>132.7997222</v>
      </c>
      <c r="O669" s="11">
        <f t="shared" si="3"/>
        <v>0.9895652174</v>
      </c>
    </row>
    <row r="670">
      <c r="A670" s="1" t="s">
        <v>2032</v>
      </c>
      <c r="B670" s="1" t="s">
        <v>2033</v>
      </c>
      <c r="C670" s="1" t="s">
        <v>2034</v>
      </c>
      <c r="D670" s="1">
        <v>240.0</v>
      </c>
      <c r="E670" s="1" t="s">
        <v>48</v>
      </c>
      <c r="F670" s="1">
        <v>2230.0</v>
      </c>
      <c r="G670" s="1">
        <v>4894.0</v>
      </c>
      <c r="H670" s="1">
        <v>4119.0</v>
      </c>
      <c r="I670" s="7">
        <f>IFERROR(__xludf.DUMMYFUNCTION("SPLIT(B670,""T""""Z"")"),40739.0)</f>
        <v>40739</v>
      </c>
      <c r="J670" s="8">
        <f>IFERROR(__xludf.DUMMYFUNCTION("""COMPUTED_VALUE"""),0.9560069444444445)</f>
        <v>0.9560069444</v>
      </c>
      <c r="K670" s="9">
        <f t="shared" si="1"/>
        <v>11</v>
      </c>
      <c r="L670" s="7">
        <f>IFERROR(__xludf.DUMMYFUNCTION("SPLIT(C670,""T""""Z"")"),44798.0)</f>
        <v>44798</v>
      </c>
      <c r="M670" s="8">
        <f>IFERROR(__xludf.DUMMYFUNCTION("""COMPUTED_VALUE"""),0.5991782407407408)</f>
        <v>0.5991782407</v>
      </c>
      <c r="N670" s="10">
        <f t="shared" si="2"/>
        <v>134.3802778</v>
      </c>
      <c r="O670" s="11">
        <f t="shared" si="3"/>
        <v>0.841642828</v>
      </c>
    </row>
    <row r="671">
      <c r="A671" s="1" t="s">
        <v>2035</v>
      </c>
      <c r="B671" s="1" t="s">
        <v>2036</v>
      </c>
      <c r="C671" s="1" t="s">
        <v>2037</v>
      </c>
      <c r="D671" s="1">
        <v>82.0</v>
      </c>
      <c r="E671" s="1" t="s">
        <v>48</v>
      </c>
      <c r="F671" s="1">
        <v>365.0</v>
      </c>
      <c r="G671" s="1">
        <v>1892.0</v>
      </c>
      <c r="H671" s="1">
        <v>1157.0</v>
      </c>
      <c r="I671" s="7">
        <f>IFERROR(__xludf.DUMMYFUNCTION("SPLIT(B671,""T""""Z"")"),42049.0)</f>
        <v>42049</v>
      </c>
      <c r="J671" s="8">
        <f>IFERROR(__xludf.DUMMYFUNCTION("""COMPUTED_VALUE"""),0.4813310185185185)</f>
        <v>0.4813310185</v>
      </c>
      <c r="K671" s="9">
        <f t="shared" si="1"/>
        <v>7</v>
      </c>
      <c r="L671" s="7">
        <f>IFERROR(__xludf.DUMMYFUNCTION("SPLIT(C671,""T""""Z"")"),44798.0)</f>
        <v>44798</v>
      </c>
      <c r="M671" s="8">
        <f>IFERROR(__xludf.DUMMYFUNCTION("""COMPUTED_VALUE"""),0.3730787037037037)</f>
        <v>0.3730787037</v>
      </c>
      <c r="N671" s="10">
        <f t="shared" si="2"/>
        <v>128.9538889</v>
      </c>
      <c r="O671" s="11">
        <f t="shared" si="3"/>
        <v>0.6115221987</v>
      </c>
    </row>
    <row r="672">
      <c r="A672" s="1" t="s">
        <v>2038</v>
      </c>
      <c r="B672" s="1" t="s">
        <v>2039</v>
      </c>
      <c r="C672" s="1" t="s">
        <v>2040</v>
      </c>
      <c r="D672" s="1">
        <v>25.0</v>
      </c>
      <c r="E672" s="1" t="s">
        <v>48</v>
      </c>
      <c r="F672" s="1">
        <v>267.0</v>
      </c>
      <c r="G672" s="1">
        <v>568.0</v>
      </c>
      <c r="H672" s="1">
        <v>566.0</v>
      </c>
      <c r="I672" s="7">
        <f>IFERROR(__xludf.DUMMYFUNCTION("SPLIT(B672,""T""""Z"")"),41386.0)</f>
        <v>41386</v>
      </c>
      <c r="J672" s="8">
        <f>IFERROR(__xludf.DUMMYFUNCTION("""COMPUTED_VALUE"""),0.6782291666666667)</f>
        <v>0.6782291667</v>
      </c>
      <c r="K672" s="9">
        <f t="shared" si="1"/>
        <v>9</v>
      </c>
      <c r="L672" s="7">
        <f>IFERROR(__xludf.DUMMYFUNCTION("SPLIT(C672,""T""""Z"")"),44798.0)</f>
        <v>44798</v>
      </c>
      <c r="M672" s="8">
        <f>IFERROR(__xludf.DUMMYFUNCTION("""COMPUTED_VALUE"""),0.4174421296296296)</f>
        <v>0.4174421296</v>
      </c>
      <c r="N672" s="10">
        <f t="shared" si="2"/>
        <v>130.0186111</v>
      </c>
      <c r="O672" s="11">
        <f t="shared" si="3"/>
        <v>0.9964788732</v>
      </c>
    </row>
    <row r="673">
      <c r="A673" s="1" t="s">
        <v>2041</v>
      </c>
      <c r="B673" s="1" t="s">
        <v>2042</v>
      </c>
      <c r="C673" s="1" t="s">
        <v>2043</v>
      </c>
      <c r="D673" s="1">
        <v>71.0</v>
      </c>
      <c r="E673" s="1" t="s">
        <v>686</v>
      </c>
      <c r="F673" s="1">
        <v>748.0</v>
      </c>
      <c r="G673" s="1">
        <v>1178.0</v>
      </c>
      <c r="H673" s="1">
        <v>1172.0</v>
      </c>
      <c r="I673" s="7">
        <f>IFERROR(__xludf.DUMMYFUNCTION("SPLIT(B673,""T""""Z"")"),42101.0)</f>
        <v>42101</v>
      </c>
      <c r="J673" s="8">
        <f>IFERROR(__xludf.DUMMYFUNCTION("""COMPUTED_VALUE"""),0.8925578703703704)</f>
        <v>0.8925578704</v>
      </c>
      <c r="K673" s="9">
        <f t="shared" si="1"/>
        <v>7</v>
      </c>
      <c r="L673" s="7">
        <f>IFERROR(__xludf.DUMMYFUNCTION("SPLIT(C673,""T""""Z"")"),44798.0)</f>
        <v>44798</v>
      </c>
      <c r="M673" s="8">
        <f>IFERROR(__xludf.DUMMYFUNCTION("""COMPUTED_VALUE"""),0.5917361111111111)</f>
        <v>0.5917361111</v>
      </c>
      <c r="N673" s="10">
        <f t="shared" si="2"/>
        <v>134.2016667</v>
      </c>
      <c r="O673" s="11">
        <f t="shared" si="3"/>
        <v>0.9949066214</v>
      </c>
    </row>
    <row r="674">
      <c r="A674" s="1" t="s">
        <v>2044</v>
      </c>
      <c r="B674" s="1" t="s">
        <v>2045</v>
      </c>
      <c r="C674" s="1" t="s">
        <v>2046</v>
      </c>
      <c r="D674" s="1">
        <v>0.0</v>
      </c>
      <c r="E674" s="1" t="s">
        <v>48</v>
      </c>
      <c r="F674" s="1">
        <v>145.0</v>
      </c>
      <c r="G674" s="1">
        <v>185.0</v>
      </c>
      <c r="H674" s="1">
        <v>153.0</v>
      </c>
      <c r="I674" s="7">
        <f>IFERROR(__xludf.DUMMYFUNCTION("SPLIT(B674,""T""""Z"")"),43105.0)</f>
        <v>43105</v>
      </c>
      <c r="J674" s="8">
        <f>IFERROR(__xludf.DUMMYFUNCTION("""COMPUTED_VALUE"""),0.5980787037037038)</f>
        <v>0.5980787037</v>
      </c>
      <c r="K674" s="9">
        <f t="shared" si="1"/>
        <v>4</v>
      </c>
      <c r="L674" s="7">
        <f>IFERROR(__xludf.DUMMYFUNCTION("SPLIT(C674,""T""""Z"")"),44798.0)</f>
        <v>44798</v>
      </c>
      <c r="M674" s="8">
        <f>IFERROR(__xludf.DUMMYFUNCTION("""COMPUTED_VALUE"""),0.6079050925925926)</f>
        <v>0.6079050926</v>
      </c>
      <c r="N674" s="10">
        <f t="shared" si="2"/>
        <v>134.5897222</v>
      </c>
      <c r="O674" s="11">
        <f t="shared" si="3"/>
        <v>0.827027027</v>
      </c>
    </row>
    <row r="675">
      <c r="A675" s="1" t="s">
        <v>2047</v>
      </c>
      <c r="B675" s="1" t="s">
        <v>2048</v>
      </c>
      <c r="C675" s="1" t="s">
        <v>2049</v>
      </c>
      <c r="D675" s="1">
        <v>118.0</v>
      </c>
      <c r="E675" s="1" t="s">
        <v>48</v>
      </c>
      <c r="F675" s="1">
        <v>1674.0</v>
      </c>
      <c r="G675" s="1">
        <v>5506.0</v>
      </c>
      <c r="H675" s="1">
        <v>5283.0</v>
      </c>
      <c r="I675" s="7">
        <f>IFERROR(__xludf.DUMMYFUNCTION("SPLIT(B675,""T""""Z"")"),40338.0)</f>
        <v>40338</v>
      </c>
      <c r="J675" s="8">
        <f>IFERROR(__xludf.DUMMYFUNCTION("""COMPUTED_VALUE"""),0.9337731481481482)</f>
        <v>0.9337731481</v>
      </c>
      <c r="K675" s="9">
        <f t="shared" si="1"/>
        <v>12</v>
      </c>
      <c r="L675" s="7">
        <f>IFERROR(__xludf.DUMMYFUNCTION("SPLIT(C675,""T""""Z"")"),44798.0)</f>
        <v>44798</v>
      </c>
      <c r="M675" s="8">
        <f>IFERROR(__xludf.DUMMYFUNCTION("""COMPUTED_VALUE"""),0.5264814814814814)</f>
        <v>0.5264814815</v>
      </c>
      <c r="N675" s="10">
        <f t="shared" si="2"/>
        <v>132.6355556</v>
      </c>
      <c r="O675" s="11">
        <f t="shared" si="3"/>
        <v>0.9594987287</v>
      </c>
    </row>
    <row r="676">
      <c r="A676" s="1" t="s">
        <v>2050</v>
      </c>
      <c r="B676" s="1" t="s">
        <v>2051</v>
      </c>
      <c r="C676" s="1" t="s">
        <v>2052</v>
      </c>
      <c r="D676" s="1">
        <v>161.0</v>
      </c>
      <c r="E676" s="1" t="s">
        <v>124</v>
      </c>
      <c r="F676" s="1">
        <v>3316.0</v>
      </c>
      <c r="G676" s="1">
        <v>6615.0</v>
      </c>
      <c r="H676" s="1">
        <v>6326.0</v>
      </c>
      <c r="I676" s="7">
        <f>IFERROR(__xludf.DUMMYFUNCTION("SPLIT(B676,""T""""Z"")"),42283.0)</f>
        <v>42283</v>
      </c>
      <c r="J676" s="8">
        <f>IFERROR(__xludf.DUMMYFUNCTION("""COMPUTED_VALUE"""),0.04689814814814815)</f>
        <v>0.04689814815</v>
      </c>
      <c r="K676" s="9">
        <f t="shared" si="1"/>
        <v>6</v>
      </c>
      <c r="L676" s="7">
        <f>IFERROR(__xludf.DUMMYFUNCTION("SPLIT(C676,""T""""Z"")"),44798.0)</f>
        <v>44798</v>
      </c>
      <c r="M676" s="8">
        <f>IFERROR(__xludf.DUMMYFUNCTION("""COMPUTED_VALUE"""),0.5793634259259259)</f>
        <v>0.5793634259</v>
      </c>
      <c r="N676" s="10">
        <f t="shared" si="2"/>
        <v>133.9047222</v>
      </c>
      <c r="O676" s="11">
        <f t="shared" si="3"/>
        <v>0.9563114135</v>
      </c>
    </row>
    <row r="677">
      <c r="A677" s="1" t="s">
        <v>2053</v>
      </c>
      <c r="B677" s="1" t="s">
        <v>2054</v>
      </c>
      <c r="C677" s="1" t="s">
        <v>2055</v>
      </c>
      <c r="D677" s="1">
        <v>158.0</v>
      </c>
      <c r="E677" s="1" t="s">
        <v>2056</v>
      </c>
      <c r="F677" s="1">
        <v>1520.0</v>
      </c>
      <c r="G677" s="1">
        <v>8231.0</v>
      </c>
      <c r="H677" s="1">
        <v>7870.0</v>
      </c>
      <c r="I677" s="7">
        <f>IFERROR(__xludf.DUMMYFUNCTION("SPLIT(B677,""T""""Z"")"),41260.0)</f>
        <v>41260</v>
      </c>
      <c r="J677" s="8">
        <f>IFERROR(__xludf.DUMMYFUNCTION("""COMPUTED_VALUE"""),0.8986458333333334)</f>
        <v>0.8986458333</v>
      </c>
      <c r="K677" s="9">
        <f t="shared" si="1"/>
        <v>9</v>
      </c>
      <c r="L677" s="7">
        <f>IFERROR(__xludf.DUMMYFUNCTION("SPLIT(C677,""T""""Z"")"),44798.0)</f>
        <v>44798</v>
      </c>
      <c r="M677" s="8">
        <f>IFERROR(__xludf.DUMMYFUNCTION("""COMPUTED_VALUE"""),0.562650462962963)</f>
        <v>0.562650463</v>
      </c>
      <c r="N677" s="10">
        <f t="shared" si="2"/>
        <v>133.5036111</v>
      </c>
      <c r="O677" s="11">
        <f t="shared" si="3"/>
        <v>0.9561414166</v>
      </c>
    </row>
    <row r="678">
      <c r="A678" s="1" t="s">
        <v>2057</v>
      </c>
      <c r="B678" s="1" t="s">
        <v>2058</v>
      </c>
      <c r="C678" s="1" t="s">
        <v>2059</v>
      </c>
      <c r="D678" s="1">
        <v>0.0</v>
      </c>
      <c r="E678" s="1" t="s">
        <v>621</v>
      </c>
      <c r="F678" s="1">
        <v>63.0</v>
      </c>
      <c r="G678" s="1">
        <v>466.0</v>
      </c>
      <c r="H678" s="1">
        <v>290.0</v>
      </c>
      <c r="I678" s="7">
        <f>IFERROR(__xludf.DUMMYFUNCTION("SPLIT(B678,""T""""Z"")"),43473.0)</f>
        <v>43473</v>
      </c>
      <c r="J678" s="8">
        <f>IFERROR(__xludf.DUMMYFUNCTION("""COMPUTED_VALUE"""),0.1591087962962963)</f>
        <v>0.1591087963</v>
      </c>
      <c r="K678" s="9">
        <f t="shared" si="1"/>
        <v>3</v>
      </c>
      <c r="L678" s="7">
        <f>IFERROR(__xludf.DUMMYFUNCTION("SPLIT(C678,""T""""Z"")"),44798.0)</f>
        <v>44798</v>
      </c>
      <c r="M678" s="8">
        <f>IFERROR(__xludf.DUMMYFUNCTION("""COMPUTED_VALUE"""),0.596412037037037)</f>
        <v>0.596412037</v>
      </c>
      <c r="N678" s="10">
        <f t="shared" si="2"/>
        <v>134.3138889</v>
      </c>
      <c r="O678" s="11">
        <f t="shared" si="3"/>
        <v>0.6223175966</v>
      </c>
    </row>
    <row r="679">
      <c r="A679" s="1" t="s">
        <v>2060</v>
      </c>
      <c r="B679" s="1" t="s">
        <v>2061</v>
      </c>
      <c r="C679" s="1" t="s">
        <v>2062</v>
      </c>
      <c r="D679" s="1">
        <v>13.0</v>
      </c>
      <c r="E679" s="1" t="s">
        <v>38</v>
      </c>
      <c r="F679" s="1">
        <v>29.0</v>
      </c>
      <c r="G679" s="1">
        <v>847.0</v>
      </c>
      <c r="H679" s="1">
        <v>609.0</v>
      </c>
      <c r="I679" s="7">
        <f>IFERROR(__xludf.DUMMYFUNCTION("SPLIT(B679,""T""""Z"")"),42388.0)</f>
        <v>42388</v>
      </c>
      <c r="J679" s="8">
        <f>IFERROR(__xludf.DUMMYFUNCTION("""COMPUTED_VALUE"""),0.32625)</f>
        <v>0.32625</v>
      </c>
      <c r="K679" s="9">
        <f t="shared" si="1"/>
        <v>6</v>
      </c>
      <c r="L679" s="7">
        <f>IFERROR(__xludf.DUMMYFUNCTION("SPLIT(C679,""T""""Z"")"),44798.0)</f>
        <v>44798</v>
      </c>
      <c r="M679" s="8">
        <f>IFERROR(__xludf.DUMMYFUNCTION("""COMPUTED_VALUE"""),0.34034722222222225)</f>
        <v>0.3403472222</v>
      </c>
      <c r="N679" s="10">
        <f t="shared" si="2"/>
        <v>128.1683333</v>
      </c>
      <c r="O679" s="11">
        <f t="shared" si="3"/>
        <v>0.7190082645</v>
      </c>
    </row>
    <row r="680">
      <c r="A680" s="1" t="s">
        <v>2063</v>
      </c>
      <c r="B680" s="1" t="s">
        <v>2064</v>
      </c>
      <c r="C680" s="1" t="s">
        <v>2065</v>
      </c>
      <c r="D680" s="1">
        <v>0.0</v>
      </c>
      <c r="E680" s="1" t="s">
        <v>439</v>
      </c>
      <c r="F680" s="1">
        <v>1379.0</v>
      </c>
      <c r="G680" s="1">
        <v>122.0</v>
      </c>
      <c r="H680" s="1">
        <v>121.0</v>
      </c>
      <c r="I680" s="7">
        <f>IFERROR(__xludf.DUMMYFUNCTION("SPLIT(B680,""T""""Z"")"),41830.0)</f>
        <v>41830</v>
      </c>
      <c r="J680" s="8">
        <f>IFERROR(__xludf.DUMMYFUNCTION("""COMPUTED_VALUE"""),0.5862152777777778)</f>
        <v>0.5862152778</v>
      </c>
      <c r="K680" s="9">
        <f t="shared" si="1"/>
        <v>8</v>
      </c>
      <c r="L680" s="7">
        <f>IFERROR(__xludf.DUMMYFUNCTION("SPLIT(C680,""T""""Z"")"),44798.0)</f>
        <v>44798</v>
      </c>
      <c r="M680" s="8">
        <f>IFERROR(__xludf.DUMMYFUNCTION("""COMPUTED_VALUE"""),0.2811226851851852)</f>
        <v>0.2811226852</v>
      </c>
      <c r="N680" s="10">
        <f t="shared" si="2"/>
        <v>126.7469444</v>
      </c>
      <c r="O680" s="11">
        <f t="shared" si="3"/>
        <v>0.9918032787</v>
      </c>
    </row>
    <row r="681">
      <c r="A681" s="1" t="s">
        <v>2066</v>
      </c>
      <c r="B681" s="1" t="s">
        <v>2067</v>
      </c>
      <c r="C681" s="1" t="s">
        <v>2068</v>
      </c>
      <c r="D681" s="1">
        <v>0.0</v>
      </c>
      <c r="E681" s="1" t="s">
        <v>52</v>
      </c>
      <c r="F681" s="1">
        <v>115.0</v>
      </c>
      <c r="G681" s="1">
        <v>0.0</v>
      </c>
      <c r="H681" s="1">
        <v>0.0</v>
      </c>
      <c r="I681" s="7">
        <f>IFERROR(__xludf.DUMMYFUNCTION("SPLIT(B681,""T""""Z"")"),39828.0)</f>
        <v>39828</v>
      </c>
      <c r="J681" s="8">
        <f>IFERROR(__xludf.DUMMYFUNCTION("""COMPUTED_VALUE"""),0.6772916666666666)</f>
        <v>0.6772916667</v>
      </c>
      <c r="K681" s="9">
        <f t="shared" si="1"/>
        <v>13</v>
      </c>
      <c r="L681" s="7">
        <f>IFERROR(__xludf.DUMMYFUNCTION("SPLIT(C681,""T""""Z"")"),44798.0)</f>
        <v>44798</v>
      </c>
      <c r="M681" s="8">
        <f>IFERROR(__xludf.DUMMYFUNCTION("""COMPUTED_VALUE"""),0.46230324074074075)</f>
        <v>0.4623032407</v>
      </c>
      <c r="N681" s="10">
        <f t="shared" si="2"/>
        <v>131.0952778</v>
      </c>
      <c r="O681" s="11">
        <f t="shared" si="3"/>
        <v>0</v>
      </c>
    </row>
    <row r="682">
      <c r="A682" s="1" t="s">
        <v>2069</v>
      </c>
      <c r="B682" s="1" t="s">
        <v>2070</v>
      </c>
      <c r="C682" s="1" t="s">
        <v>2071</v>
      </c>
      <c r="D682" s="1">
        <v>31.0</v>
      </c>
      <c r="E682" s="1" t="s">
        <v>95</v>
      </c>
      <c r="F682" s="1">
        <v>96.0</v>
      </c>
      <c r="G682" s="1">
        <v>2569.0</v>
      </c>
      <c r="H682" s="1">
        <v>1698.0</v>
      </c>
      <c r="I682" s="7">
        <f>IFERROR(__xludf.DUMMYFUNCTION("SPLIT(B682,""T""""Z"")"),42336.0)</f>
        <v>42336</v>
      </c>
      <c r="J682" s="8">
        <f>IFERROR(__xludf.DUMMYFUNCTION("""COMPUTED_VALUE"""),0.5413657407407407)</f>
        <v>0.5413657407</v>
      </c>
      <c r="K682" s="9">
        <f t="shared" si="1"/>
        <v>6</v>
      </c>
      <c r="L682" s="7">
        <f>IFERROR(__xludf.DUMMYFUNCTION("SPLIT(C682,""T""""Z"")"),44798.0)</f>
        <v>44798</v>
      </c>
      <c r="M682" s="8">
        <f>IFERROR(__xludf.DUMMYFUNCTION("""COMPUTED_VALUE"""),0.46189814814814817)</f>
        <v>0.4618981481</v>
      </c>
      <c r="N682" s="10">
        <f t="shared" si="2"/>
        <v>131.0855556</v>
      </c>
      <c r="O682" s="11">
        <f t="shared" si="3"/>
        <v>0.660957571</v>
      </c>
    </row>
    <row r="683">
      <c r="A683" s="1" t="s">
        <v>2072</v>
      </c>
      <c r="B683" s="1" t="s">
        <v>2073</v>
      </c>
      <c r="C683" s="1" t="s">
        <v>2074</v>
      </c>
      <c r="D683" s="1">
        <v>110.0</v>
      </c>
      <c r="E683" s="1" t="s">
        <v>18</v>
      </c>
      <c r="F683" s="1">
        <v>483.0</v>
      </c>
      <c r="G683" s="1">
        <v>1183.0</v>
      </c>
      <c r="H683" s="1">
        <v>1170.0</v>
      </c>
      <c r="I683" s="7">
        <f>IFERROR(__xludf.DUMMYFUNCTION("SPLIT(B683,""T""""Z"")"),42196.0)</f>
        <v>42196</v>
      </c>
      <c r="J683" s="8">
        <f>IFERROR(__xludf.DUMMYFUNCTION("""COMPUTED_VALUE"""),0.7305671296296297)</f>
        <v>0.7305671296</v>
      </c>
      <c r="K683" s="9">
        <f t="shared" si="1"/>
        <v>7</v>
      </c>
      <c r="L683" s="7">
        <f>IFERROR(__xludf.DUMMYFUNCTION("SPLIT(C683,""T""""Z"")"),44798.0)</f>
        <v>44798</v>
      </c>
      <c r="M683" s="8">
        <f>IFERROR(__xludf.DUMMYFUNCTION("""COMPUTED_VALUE"""),0.5538541666666666)</f>
        <v>0.5538541667</v>
      </c>
      <c r="N683" s="10">
        <f t="shared" si="2"/>
        <v>133.2925</v>
      </c>
      <c r="O683" s="11">
        <f t="shared" si="3"/>
        <v>0.989010989</v>
      </c>
    </row>
    <row r="684">
      <c r="A684" s="1" t="s">
        <v>2075</v>
      </c>
      <c r="B684" s="1" t="s">
        <v>2076</v>
      </c>
      <c r="C684" s="1" t="s">
        <v>2077</v>
      </c>
      <c r="D684" s="1">
        <v>0.0</v>
      </c>
      <c r="E684" s="13" t="s">
        <v>22</v>
      </c>
      <c r="F684" s="1">
        <v>183.0</v>
      </c>
      <c r="G684" s="1">
        <v>98.0</v>
      </c>
      <c r="H684" s="1">
        <v>26.0</v>
      </c>
      <c r="I684" s="7">
        <f>IFERROR(__xludf.DUMMYFUNCTION("SPLIT(B684,""T""""Z"")"),41679.0)</f>
        <v>41679</v>
      </c>
      <c r="J684" s="8">
        <f>IFERROR(__xludf.DUMMYFUNCTION("""COMPUTED_VALUE"""),0.9439814814814815)</f>
        <v>0.9439814815</v>
      </c>
      <c r="K684" s="9">
        <f t="shared" si="1"/>
        <v>8</v>
      </c>
      <c r="L684" s="7">
        <f>IFERROR(__xludf.DUMMYFUNCTION("SPLIT(C684,""T""""Z"")"),44798.0)</f>
        <v>44798</v>
      </c>
      <c r="M684" s="8">
        <f>IFERROR(__xludf.DUMMYFUNCTION("""COMPUTED_VALUE"""),0.5140972222222222)</f>
        <v>0.5140972222</v>
      </c>
      <c r="N684" s="12">
        <f t="shared" si="2"/>
        <v>132.3383333</v>
      </c>
      <c r="O684" s="11">
        <f t="shared" si="3"/>
        <v>0.2653061224</v>
      </c>
    </row>
    <row r="685">
      <c r="A685" s="1" t="s">
        <v>2078</v>
      </c>
      <c r="B685" s="1" t="s">
        <v>2079</v>
      </c>
      <c r="C685" s="1" t="s">
        <v>2080</v>
      </c>
      <c r="D685" s="1">
        <v>42.0</v>
      </c>
      <c r="E685" s="1" t="s">
        <v>48</v>
      </c>
      <c r="F685" s="1">
        <v>124.0</v>
      </c>
      <c r="G685" s="1">
        <v>739.0</v>
      </c>
      <c r="H685" s="1">
        <v>615.0</v>
      </c>
      <c r="I685" s="7">
        <f>IFERROR(__xludf.DUMMYFUNCTION("SPLIT(B685,""T""""Z"")"),43473.0)</f>
        <v>43473</v>
      </c>
      <c r="J685" s="8">
        <f>IFERROR(__xludf.DUMMYFUNCTION("""COMPUTED_VALUE"""),0.2513425925925926)</f>
        <v>0.2513425926</v>
      </c>
      <c r="K685" s="9">
        <f t="shared" si="1"/>
        <v>3</v>
      </c>
      <c r="L685" s="7">
        <f>IFERROR(__xludf.DUMMYFUNCTION("SPLIT(C685,""T""""Z"")"),44798.0)</f>
        <v>44798</v>
      </c>
      <c r="M685" s="8">
        <f>IFERROR(__xludf.DUMMYFUNCTION("""COMPUTED_VALUE"""),0.5996990740740741)</f>
        <v>0.5996990741</v>
      </c>
      <c r="N685" s="10">
        <f t="shared" si="2"/>
        <v>134.3927778</v>
      </c>
      <c r="O685" s="11">
        <f t="shared" si="3"/>
        <v>0.8322056834</v>
      </c>
    </row>
    <row r="686">
      <c r="A686" s="1" t="s">
        <v>2081</v>
      </c>
      <c r="B686" s="1" t="s">
        <v>2082</v>
      </c>
      <c r="C686" s="1" t="s">
        <v>2083</v>
      </c>
      <c r="D686" s="1">
        <v>26.0</v>
      </c>
      <c r="E686" s="1" t="s">
        <v>48</v>
      </c>
      <c r="F686" s="1">
        <v>1275.0</v>
      </c>
      <c r="G686" s="1">
        <v>1567.0</v>
      </c>
      <c r="H686" s="1">
        <v>1454.0</v>
      </c>
      <c r="I686" s="7">
        <f>IFERROR(__xludf.DUMMYFUNCTION("SPLIT(B686,""T""""Z"")"),41446.0)</f>
        <v>41446</v>
      </c>
      <c r="J686" s="8">
        <f>IFERROR(__xludf.DUMMYFUNCTION("""COMPUTED_VALUE"""),0.8559606481481481)</f>
        <v>0.8559606481</v>
      </c>
      <c r="K686" s="9">
        <f t="shared" si="1"/>
        <v>9</v>
      </c>
      <c r="L686" s="7">
        <f>IFERROR(__xludf.DUMMYFUNCTION("SPLIT(C686,""T""""Z"")"),44798.0)</f>
        <v>44798</v>
      </c>
      <c r="M686" s="8">
        <f>IFERROR(__xludf.DUMMYFUNCTION("""COMPUTED_VALUE"""),0.33975694444444443)</f>
        <v>0.3397569444</v>
      </c>
      <c r="N686" s="10">
        <f t="shared" si="2"/>
        <v>128.1541667</v>
      </c>
      <c r="O686" s="11">
        <f t="shared" si="3"/>
        <v>0.9278876835</v>
      </c>
    </row>
    <row r="687">
      <c r="A687" s="1" t="s">
        <v>2084</v>
      </c>
      <c r="B687" s="1" t="s">
        <v>2085</v>
      </c>
      <c r="C687" s="1" t="s">
        <v>2086</v>
      </c>
      <c r="D687" s="1">
        <v>40.0</v>
      </c>
      <c r="E687" s="1" t="s">
        <v>48</v>
      </c>
      <c r="F687" s="1">
        <v>536.0</v>
      </c>
      <c r="G687" s="1">
        <v>6321.0</v>
      </c>
      <c r="H687" s="1">
        <v>5842.0</v>
      </c>
      <c r="I687" s="7">
        <f>IFERROR(__xludf.DUMMYFUNCTION("SPLIT(B687,""T""""Z"")"),40986.0)</f>
        <v>40986</v>
      </c>
      <c r="J687" s="8">
        <f>IFERROR(__xludf.DUMMYFUNCTION("""COMPUTED_VALUE"""),0.8237847222222222)</f>
        <v>0.8237847222</v>
      </c>
      <c r="K687" s="9">
        <f t="shared" si="1"/>
        <v>10</v>
      </c>
      <c r="L687" s="7">
        <f>IFERROR(__xludf.DUMMYFUNCTION("SPLIT(C687,""T""""Z"")"),44798.0)</f>
        <v>44798</v>
      </c>
      <c r="M687" s="8">
        <f>IFERROR(__xludf.DUMMYFUNCTION("""COMPUTED_VALUE"""),0.00886574074074074)</f>
        <v>0.008865740741</v>
      </c>
      <c r="N687" s="10">
        <f t="shared" si="2"/>
        <v>120.2127778</v>
      </c>
      <c r="O687" s="11">
        <f t="shared" si="3"/>
        <v>0.9242208511</v>
      </c>
    </row>
    <row r="688">
      <c r="A688" s="1" t="s">
        <v>2087</v>
      </c>
      <c r="B688" s="1" t="s">
        <v>2088</v>
      </c>
      <c r="C688" s="1" t="s">
        <v>2089</v>
      </c>
      <c r="D688" s="1">
        <v>66.0</v>
      </c>
      <c r="E688" s="1" t="s">
        <v>48</v>
      </c>
      <c r="F688" s="1">
        <v>656.0</v>
      </c>
      <c r="G688" s="1">
        <v>1452.0</v>
      </c>
      <c r="H688" s="1">
        <v>1413.0</v>
      </c>
      <c r="I688" s="7">
        <f>IFERROR(__xludf.DUMMYFUNCTION("SPLIT(B688,""T""""Z"")"),42337.0)</f>
        <v>42337</v>
      </c>
      <c r="J688" s="8">
        <f>IFERROR(__xludf.DUMMYFUNCTION("""COMPUTED_VALUE"""),0.7070833333333333)</f>
        <v>0.7070833333</v>
      </c>
      <c r="K688" s="9">
        <f t="shared" si="1"/>
        <v>6</v>
      </c>
      <c r="L688" s="7">
        <f>IFERROR(__xludf.DUMMYFUNCTION("SPLIT(C688,""T""""Z"")"),44798.0)</f>
        <v>44798</v>
      </c>
      <c r="M688" s="8">
        <f>IFERROR(__xludf.DUMMYFUNCTION("""COMPUTED_VALUE"""),0.6025578703703703)</f>
        <v>0.6025578704</v>
      </c>
      <c r="N688" s="10">
        <f t="shared" si="2"/>
        <v>134.4613889</v>
      </c>
      <c r="O688" s="11">
        <f t="shared" si="3"/>
        <v>0.9731404959</v>
      </c>
    </row>
    <row r="689">
      <c r="A689" s="1" t="s">
        <v>2090</v>
      </c>
      <c r="B689" s="1" t="s">
        <v>2091</v>
      </c>
      <c r="C689" s="1" t="s">
        <v>2092</v>
      </c>
      <c r="D689" s="1">
        <v>446.0</v>
      </c>
      <c r="E689" s="1" t="s">
        <v>48</v>
      </c>
      <c r="F689" s="1">
        <v>7783.0</v>
      </c>
      <c r="G689" s="1">
        <v>6598.0</v>
      </c>
      <c r="H689" s="1">
        <v>6239.0</v>
      </c>
      <c r="I689" s="7">
        <f>IFERROR(__xludf.DUMMYFUNCTION("SPLIT(B689,""T""""Z"")"),40688.0)</f>
        <v>40688</v>
      </c>
      <c r="J689" s="8">
        <f>IFERROR(__xludf.DUMMYFUNCTION("""COMPUTED_VALUE"""),0.9858796296296296)</f>
        <v>0.9858796296</v>
      </c>
      <c r="K689" s="9">
        <f t="shared" si="1"/>
        <v>11</v>
      </c>
      <c r="L689" s="7">
        <f>IFERROR(__xludf.DUMMYFUNCTION("SPLIT(C689,""T""""Z"")"),44798.0)</f>
        <v>44798</v>
      </c>
      <c r="M689" s="8">
        <f>IFERROR(__xludf.DUMMYFUNCTION("""COMPUTED_VALUE"""),0.5627430555555556)</f>
        <v>0.5627430556</v>
      </c>
      <c r="N689" s="10">
        <f t="shared" si="2"/>
        <v>133.5058333</v>
      </c>
      <c r="O689" s="11">
        <f t="shared" si="3"/>
        <v>0.9455895726</v>
      </c>
    </row>
    <row r="690">
      <c r="A690" s="1" t="s">
        <v>2093</v>
      </c>
      <c r="B690" s="1" t="s">
        <v>2094</v>
      </c>
      <c r="C690" s="1" t="s">
        <v>2095</v>
      </c>
      <c r="D690" s="1">
        <v>193.0</v>
      </c>
      <c r="E690" s="1" t="s">
        <v>18</v>
      </c>
      <c r="F690" s="1">
        <v>162.0</v>
      </c>
      <c r="G690" s="1">
        <v>428.0</v>
      </c>
      <c r="H690" s="1">
        <v>327.0</v>
      </c>
      <c r="I690" s="7">
        <f>IFERROR(__xludf.DUMMYFUNCTION("SPLIT(B690,""T""""Z"")"),44310.0)</f>
        <v>44310</v>
      </c>
      <c r="J690" s="8">
        <f>IFERROR(__xludf.DUMMYFUNCTION("""COMPUTED_VALUE"""),0.05929398148148148)</f>
        <v>0.05929398148</v>
      </c>
      <c r="K690" s="9">
        <f t="shared" si="1"/>
        <v>1</v>
      </c>
      <c r="L690" s="7">
        <f>IFERROR(__xludf.DUMMYFUNCTION("SPLIT(C690,""T""""Z"")"),44798.0)</f>
        <v>44798</v>
      </c>
      <c r="M690" s="8">
        <f>IFERROR(__xludf.DUMMYFUNCTION("""COMPUTED_VALUE"""),0.5741203703703703)</f>
        <v>0.5741203704</v>
      </c>
      <c r="N690" s="10">
        <f t="shared" si="2"/>
        <v>133.7788889</v>
      </c>
      <c r="O690" s="11">
        <f t="shared" si="3"/>
        <v>0.7640186916</v>
      </c>
    </row>
    <row r="691">
      <c r="A691" s="1" t="s">
        <v>2096</v>
      </c>
      <c r="B691" s="1" t="s">
        <v>2097</v>
      </c>
      <c r="C691" s="1" t="s">
        <v>2098</v>
      </c>
      <c r="D691" s="1">
        <v>0.0</v>
      </c>
      <c r="E691" s="1" t="s">
        <v>599</v>
      </c>
      <c r="F691" s="1">
        <v>214.0</v>
      </c>
      <c r="G691" s="1">
        <v>672.0</v>
      </c>
      <c r="H691" s="1">
        <v>535.0</v>
      </c>
      <c r="I691" s="7">
        <f>IFERROR(__xludf.DUMMYFUNCTION("SPLIT(B691,""T""""Z"")"),42864.0)</f>
        <v>42864</v>
      </c>
      <c r="J691" s="8">
        <f>IFERROR(__xludf.DUMMYFUNCTION("""COMPUTED_VALUE"""),0.8814120370370371)</f>
        <v>0.881412037</v>
      </c>
      <c r="K691" s="9">
        <f t="shared" si="1"/>
        <v>5</v>
      </c>
      <c r="L691" s="7">
        <f>IFERROR(__xludf.DUMMYFUNCTION("SPLIT(C691,""T""""Z"")"),44798.0)</f>
        <v>44798</v>
      </c>
      <c r="M691" s="8">
        <f>IFERROR(__xludf.DUMMYFUNCTION("""COMPUTED_VALUE"""),0.4464236111111111)</f>
        <v>0.4464236111</v>
      </c>
      <c r="N691" s="10">
        <f t="shared" si="2"/>
        <v>130.7141667</v>
      </c>
      <c r="O691" s="11">
        <f t="shared" si="3"/>
        <v>0.7961309524</v>
      </c>
    </row>
    <row r="692">
      <c r="A692" s="1" t="s">
        <v>2099</v>
      </c>
      <c r="B692" s="1" t="s">
        <v>2100</v>
      </c>
      <c r="C692" s="1" t="s">
        <v>2101</v>
      </c>
      <c r="D692" s="1">
        <v>0.0</v>
      </c>
      <c r="E692" s="1" t="s">
        <v>48</v>
      </c>
      <c r="F692" s="1">
        <v>249.0</v>
      </c>
      <c r="G692" s="1">
        <v>741.0</v>
      </c>
      <c r="H692" s="1">
        <v>698.0</v>
      </c>
      <c r="I692" s="7">
        <f>IFERROR(__xludf.DUMMYFUNCTION("SPLIT(B692,""T""""Z"")"),41768.0)</f>
        <v>41768</v>
      </c>
      <c r="J692" s="8">
        <f>IFERROR(__xludf.DUMMYFUNCTION("""COMPUTED_VALUE"""),0.7606481481481482)</f>
        <v>0.7606481481</v>
      </c>
      <c r="K692" s="9">
        <f t="shared" si="1"/>
        <v>8</v>
      </c>
      <c r="L692" s="7">
        <f>IFERROR(__xludf.DUMMYFUNCTION("SPLIT(C692,""T""""Z"")"),44798.0)</f>
        <v>44798</v>
      </c>
      <c r="M692" s="8">
        <f>IFERROR(__xludf.DUMMYFUNCTION("""COMPUTED_VALUE"""),0.37190972222222224)</f>
        <v>0.3719097222</v>
      </c>
      <c r="N692" s="10">
        <f t="shared" si="2"/>
        <v>128.9258333</v>
      </c>
      <c r="O692" s="11">
        <f t="shared" si="3"/>
        <v>0.9419703104</v>
      </c>
    </row>
    <row r="693">
      <c r="A693" s="1" t="s">
        <v>2102</v>
      </c>
      <c r="B693" s="1" t="s">
        <v>2103</v>
      </c>
      <c r="C693" s="1" t="s">
        <v>2104</v>
      </c>
      <c r="D693" s="1">
        <v>0.0</v>
      </c>
      <c r="E693" s="13" t="s">
        <v>22</v>
      </c>
      <c r="F693" s="1">
        <v>1.0</v>
      </c>
      <c r="G693" s="1">
        <v>14.0</v>
      </c>
      <c r="H693" s="1">
        <v>4.0</v>
      </c>
      <c r="I693" s="7">
        <f>IFERROR(__xludf.DUMMYFUNCTION("SPLIT(B693,""T""""Z"")"),41754.0)</f>
        <v>41754</v>
      </c>
      <c r="J693" s="8">
        <f>IFERROR(__xludf.DUMMYFUNCTION("""COMPUTED_VALUE"""),0.4060416666666667)</f>
        <v>0.4060416667</v>
      </c>
      <c r="K693" s="9">
        <f t="shared" si="1"/>
        <v>8</v>
      </c>
      <c r="L693" s="7">
        <f>IFERROR(__xludf.DUMMYFUNCTION("SPLIT(C693,""T""""Z"")"),44798.0)</f>
        <v>44798</v>
      </c>
      <c r="M693" s="8">
        <f>IFERROR(__xludf.DUMMYFUNCTION("""COMPUTED_VALUE"""),0.08798611111111111)</f>
        <v>0.08798611111</v>
      </c>
      <c r="N693" s="12">
        <f t="shared" si="2"/>
        <v>122.1116667</v>
      </c>
      <c r="O693" s="11">
        <f t="shared" si="3"/>
        <v>0.2857142857</v>
      </c>
    </row>
    <row r="694">
      <c r="A694" s="1" t="s">
        <v>2105</v>
      </c>
      <c r="B694" s="1" t="s">
        <v>2106</v>
      </c>
      <c r="C694" s="1" t="s">
        <v>2107</v>
      </c>
      <c r="D694" s="1">
        <v>12.0</v>
      </c>
      <c r="E694" s="1" t="s">
        <v>48</v>
      </c>
      <c r="F694" s="1">
        <v>63.0</v>
      </c>
      <c r="G694" s="1">
        <v>1726.0</v>
      </c>
      <c r="H694" s="1">
        <v>1151.0</v>
      </c>
      <c r="I694" s="7">
        <f>IFERROR(__xludf.DUMMYFUNCTION("SPLIT(B694,""T""""Z"")"),40640.0)</f>
        <v>40640</v>
      </c>
      <c r="J694" s="8">
        <f>IFERROR(__xludf.DUMMYFUNCTION("""COMPUTED_VALUE"""),0.24061342592592594)</f>
        <v>0.2406134259</v>
      </c>
      <c r="K694" s="9">
        <f t="shared" si="1"/>
        <v>11</v>
      </c>
      <c r="L694" s="7">
        <f>IFERROR(__xludf.DUMMYFUNCTION("SPLIT(C694,""T""""Z"")"),44798.0)</f>
        <v>44798</v>
      </c>
      <c r="M694" s="8">
        <f>IFERROR(__xludf.DUMMYFUNCTION("""COMPUTED_VALUE"""),0.4413773148148148)</f>
        <v>0.4413773148</v>
      </c>
      <c r="N694" s="10">
        <f t="shared" si="2"/>
        <v>130.5930556</v>
      </c>
      <c r="O694" s="11">
        <f t="shared" si="3"/>
        <v>0.6668597914</v>
      </c>
    </row>
    <row r="695">
      <c r="A695" s="1" t="s">
        <v>2108</v>
      </c>
      <c r="B695" s="1" t="s">
        <v>2109</v>
      </c>
      <c r="C695" s="1" t="s">
        <v>2110</v>
      </c>
      <c r="D695" s="1">
        <v>38.0</v>
      </c>
      <c r="E695" s="1" t="s">
        <v>193</v>
      </c>
      <c r="F695" s="1">
        <v>285.0</v>
      </c>
      <c r="G695" s="1">
        <v>3296.0</v>
      </c>
      <c r="H695" s="1">
        <v>2402.0</v>
      </c>
      <c r="I695" s="7">
        <f>IFERROR(__xludf.DUMMYFUNCTION("SPLIT(B695,""T""""Z"")"),41627.0)</f>
        <v>41627</v>
      </c>
      <c r="J695" s="8">
        <f>IFERROR(__xludf.DUMMYFUNCTION("""COMPUTED_VALUE"""),0.6593981481481481)</f>
        <v>0.6593981481</v>
      </c>
      <c r="K695" s="9">
        <f t="shared" si="1"/>
        <v>8</v>
      </c>
      <c r="L695" s="7">
        <f>IFERROR(__xludf.DUMMYFUNCTION("SPLIT(C695,""T""""Z"")"),44798.0)</f>
        <v>44798</v>
      </c>
      <c r="M695" s="8">
        <f>IFERROR(__xludf.DUMMYFUNCTION("""COMPUTED_VALUE"""),0.5763194444444445)</f>
        <v>0.5763194444</v>
      </c>
      <c r="N695" s="10">
        <f t="shared" si="2"/>
        <v>133.8316667</v>
      </c>
      <c r="O695" s="11">
        <f t="shared" si="3"/>
        <v>0.7287621359</v>
      </c>
    </row>
    <row r="696">
      <c r="A696" s="1" t="s">
        <v>2111</v>
      </c>
      <c r="B696" s="1" t="s">
        <v>2112</v>
      </c>
      <c r="C696" s="1" t="s">
        <v>2113</v>
      </c>
      <c r="D696" s="1">
        <v>3.0</v>
      </c>
      <c r="E696" s="1" t="s">
        <v>38</v>
      </c>
      <c r="F696" s="1">
        <v>65.0</v>
      </c>
      <c r="G696" s="1">
        <v>2593.0</v>
      </c>
      <c r="H696" s="1">
        <v>819.0</v>
      </c>
      <c r="I696" s="7">
        <f>IFERROR(__xludf.DUMMYFUNCTION("SPLIT(B696,""T""""Z"")"),43027.0)</f>
        <v>43027</v>
      </c>
      <c r="J696" s="8">
        <f>IFERROR(__xludf.DUMMYFUNCTION("""COMPUTED_VALUE"""),0.8531712962962963)</f>
        <v>0.8531712963</v>
      </c>
      <c r="K696" s="9">
        <f t="shared" si="1"/>
        <v>4</v>
      </c>
      <c r="L696" s="7">
        <f>IFERROR(__xludf.DUMMYFUNCTION("SPLIT(C696,""T""""Z"")"),44798.0)</f>
        <v>44798</v>
      </c>
      <c r="M696" s="8">
        <f>IFERROR(__xludf.DUMMYFUNCTION("""COMPUTED_VALUE"""),0.45092592592592595)</f>
        <v>0.4509259259</v>
      </c>
      <c r="N696" s="10">
        <f t="shared" si="2"/>
        <v>130.8222222</v>
      </c>
      <c r="O696" s="11">
        <f t="shared" si="3"/>
        <v>0.3158503664</v>
      </c>
    </row>
    <row r="697">
      <c r="A697" s="1" t="s">
        <v>2114</v>
      </c>
      <c r="B697" s="1" t="s">
        <v>2115</v>
      </c>
      <c r="C697" s="1" t="s">
        <v>2116</v>
      </c>
      <c r="D697" s="1">
        <v>13.0</v>
      </c>
      <c r="E697" s="1" t="s">
        <v>18</v>
      </c>
      <c r="F697" s="1">
        <v>84.0</v>
      </c>
      <c r="G697" s="1">
        <v>702.0</v>
      </c>
      <c r="H697" s="1">
        <v>548.0</v>
      </c>
      <c r="I697" s="7">
        <f>IFERROR(__xludf.DUMMYFUNCTION("SPLIT(B697,""T""""Z"")"),41912.0)</f>
        <v>41912</v>
      </c>
      <c r="J697" s="8">
        <f>IFERROR(__xludf.DUMMYFUNCTION("""COMPUTED_VALUE"""),0.4672222222222222)</f>
        <v>0.4672222222</v>
      </c>
      <c r="K697" s="9">
        <f t="shared" si="1"/>
        <v>7</v>
      </c>
      <c r="L697" s="7">
        <f>IFERROR(__xludf.DUMMYFUNCTION("SPLIT(C697,""T""""Z"")"),44798.0)</f>
        <v>44798</v>
      </c>
      <c r="M697" s="8">
        <f>IFERROR(__xludf.DUMMYFUNCTION("""COMPUTED_VALUE"""),0.4580902777777778)</f>
        <v>0.4580902778</v>
      </c>
      <c r="N697" s="10">
        <f t="shared" si="2"/>
        <v>130.9941667</v>
      </c>
      <c r="O697" s="11">
        <f t="shared" si="3"/>
        <v>0.7806267806</v>
      </c>
    </row>
    <row r="698">
      <c r="A698" s="1" t="s">
        <v>2117</v>
      </c>
      <c r="B698" s="1" t="s">
        <v>2118</v>
      </c>
      <c r="C698" s="1" t="s">
        <v>2119</v>
      </c>
      <c r="D698" s="1">
        <v>339.0</v>
      </c>
      <c r="E698" s="1" t="s">
        <v>48</v>
      </c>
      <c r="F698" s="1">
        <v>1490.0</v>
      </c>
      <c r="G698" s="1">
        <v>2849.0</v>
      </c>
      <c r="H698" s="1">
        <v>2460.0</v>
      </c>
      <c r="I698" s="7">
        <f>IFERROR(__xludf.DUMMYFUNCTION("SPLIT(B698,""T""""Z"")"),42138.0)</f>
        <v>42138</v>
      </c>
      <c r="J698" s="8">
        <f>IFERROR(__xludf.DUMMYFUNCTION("""COMPUTED_VALUE"""),0.9350462962962963)</f>
        <v>0.9350462963</v>
      </c>
      <c r="K698" s="9">
        <f t="shared" si="1"/>
        <v>7</v>
      </c>
      <c r="L698" s="7">
        <f>IFERROR(__xludf.DUMMYFUNCTION("SPLIT(C698,""T""""Z"")"),44798.0)</f>
        <v>44798</v>
      </c>
      <c r="M698" s="8">
        <f>IFERROR(__xludf.DUMMYFUNCTION("""COMPUTED_VALUE"""),0.5839236111111111)</f>
        <v>0.5839236111</v>
      </c>
      <c r="N698" s="10">
        <f t="shared" si="2"/>
        <v>134.0141667</v>
      </c>
      <c r="O698" s="11">
        <f t="shared" si="3"/>
        <v>0.8634608635</v>
      </c>
    </row>
    <row r="699">
      <c r="A699" s="1" t="s">
        <v>2120</v>
      </c>
      <c r="B699" s="1" t="s">
        <v>2121</v>
      </c>
      <c r="C699" s="1" t="s">
        <v>2122</v>
      </c>
      <c r="D699" s="1">
        <v>51.0</v>
      </c>
      <c r="E699" s="1" t="s">
        <v>48</v>
      </c>
      <c r="F699" s="1">
        <v>98.0</v>
      </c>
      <c r="G699" s="1">
        <v>580.0</v>
      </c>
      <c r="H699" s="1">
        <v>226.0</v>
      </c>
      <c r="I699" s="7">
        <f>IFERROR(__xludf.DUMMYFUNCTION("SPLIT(B699,""T""""Z"")"),41787.0)</f>
        <v>41787</v>
      </c>
      <c r="J699" s="8">
        <f>IFERROR(__xludf.DUMMYFUNCTION("""COMPUTED_VALUE"""),0.8263310185185185)</f>
        <v>0.8263310185</v>
      </c>
      <c r="K699" s="9">
        <f t="shared" si="1"/>
        <v>8</v>
      </c>
      <c r="L699" s="7">
        <f>IFERROR(__xludf.DUMMYFUNCTION("SPLIT(C699,""T""""Z"")"),44797.0)</f>
        <v>44797</v>
      </c>
      <c r="M699" s="8">
        <f>IFERROR(__xludf.DUMMYFUNCTION("""COMPUTED_VALUE"""),0.7309027777777778)</f>
        <v>0.7309027778</v>
      </c>
      <c r="N699" s="10">
        <f t="shared" si="2"/>
        <v>161.5416667</v>
      </c>
      <c r="O699" s="11">
        <f t="shared" si="3"/>
        <v>0.3896551724</v>
      </c>
    </row>
    <row r="700">
      <c r="A700" s="1" t="s">
        <v>2123</v>
      </c>
      <c r="B700" s="1" t="s">
        <v>2124</v>
      </c>
      <c r="C700" s="1" t="s">
        <v>2125</v>
      </c>
      <c r="D700" s="1">
        <v>0.0</v>
      </c>
      <c r="E700" s="1" t="s">
        <v>68</v>
      </c>
      <c r="F700" s="1">
        <v>260.0</v>
      </c>
      <c r="G700" s="1">
        <v>91.0</v>
      </c>
      <c r="H700" s="1">
        <v>76.0</v>
      </c>
      <c r="I700" s="7">
        <f>IFERROR(__xludf.DUMMYFUNCTION("SPLIT(B700,""T""""Z"")"),40634.0)</f>
        <v>40634</v>
      </c>
      <c r="J700" s="8">
        <f>IFERROR(__xludf.DUMMYFUNCTION("""COMPUTED_VALUE"""),0.16789351851851853)</f>
        <v>0.1678935185</v>
      </c>
      <c r="K700" s="9">
        <f t="shared" si="1"/>
        <v>11</v>
      </c>
      <c r="L700" s="7">
        <f>IFERROR(__xludf.DUMMYFUNCTION("SPLIT(C700,""T""""Z"")"),44798.0)</f>
        <v>44798</v>
      </c>
      <c r="M700" s="8">
        <f>IFERROR(__xludf.DUMMYFUNCTION("""COMPUTED_VALUE"""),0.5450347222222223)</f>
        <v>0.5450347222</v>
      </c>
      <c r="N700" s="10">
        <f t="shared" si="2"/>
        <v>133.0808333</v>
      </c>
      <c r="O700" s="11">
        <f t="shared" si="3"/>
        <v>0.8351648352</v>
      </c>
    </row>
    <row r="701">
      <c r="A701" s="1" t="s">
        <v>2126</v>
      </c>
      <c r="B701" s="1" t="s">
        <v>2127</v>
      </c>
      <c r="C701" s="1" t="s">
        <v>2128</v>
      </c>
      <c r="D701" s="1">
        <v>34.0</v>
      </c>
      <c r="E701" s="1" t="s">
        <v>347</v>
      </c>
      <c r="F701" s="1">
        <v>309.0</v>
      </c>
      <c r="G701" s="1">
        <v>2367.0</v>
      </c>
      <c r="H701" s="1">
        <v>2120.0</v>
      </c>
      <c r="I701" s="7">
        <f>IFERROR(__xludf.DUMMYFUNCTION("SPLIT(B701,""T""""Z"")"),40651.0)</f>
        <v>40651</v>
      </c>
      <c r="J701" s="8">
        <f>IFERROR(__xludf.DUMMYFUNCTION("""COMPUTED_VALUE"""),0.6303356481481481)</f>
        <v>0.6303356481</v>
      </c>
      <c r="K701" s="9">
        <f t="shared" si="1"/>
        <v>11</v>
      </c>
      <c r="L701" s="7">
        <f>IFERROR(__xludf.DUMMYFUNCTION("SPLIT(C701,""T""""Z"")"),44795.0)</f>
        <v>44795</v>
      </c>
      <c r="M701" s="8">
        <f>IFERROR(__xludf.DUMMYFUNCTION("""COMPUTED_VALUE"""),0.906261574074074)</f>
        <v>0.9062615741</v>
      </c>
      <c r="N701" s="10">
        <f t="shared" si="2"/>
        <v>213.7502778</v>
      </c>
      <c r="O701" s="11">
        <f t="shared" si="3"/>
        <v>0.8956485002</v>
      </c>
    </row>
    <row r="702">
      <c r="A702" s="1" t="s">
        <v>2129</v>
      </c>
      <c r="B702" s="1" t="s">
        <v>2130</v>
      </c>
      <c r="C702" s="1" t="s">
        <v>2131</v>
      </c>
      <c r="D702" s="1">
        <v>52.0</v>
      </c>
      <c r="E702" s="1" t="s">
        <v>228</v>
      </c>
      <c r="F702" s="1">
        <v>882.0</v>
      </c>
      <c r="G702" s="1">
        <v>1764.0</v>
      </c>
      <c r="H702" s="1">
        <v>1741.0</v>
      </c>
      <c r="I702" s="7">
        <f>IFERROR(__xludf.DUMMYFUNCTION("SPLIT(B702,""T""""Z"")"),40602.0)</f>
        <v>40602</v>
      </c>
      <c r="J702" s="8">
        <f>IFERROR(__xludf.DUMMYFUNCTION("""COMPUTED_VALUE"""),0.11394675925925926)</f>
        <v>0.1139467593</v>
      </c>
      <c r="K702" s="9">
        <f t="shared" si="1"/>
        <v>11</v>
      </c>
      <c r="L702" s="7">
        <f>IFERROR(__xludf.DUMMYFUNCTION("SPLIT(C702,""T""""Z"")"),44798.0)</f>
        <v>44798</v>
      </c>
      <c r="M702" s="8">
        <f>IFERROR(__xludf.DUMMYFUNCTION("""COMPUTED_VALUE"""),0.5125)</f>
        <v>0.5125</v>
      </c>
      <c r="N702" s="10">
        <f t="shared" si="2"/>
        <v>132.3</v>
      </c>
      <c r="O702" s="11">
        <f t="shared" si="3"/>
        <v>0.9869614512</v>
      </c>
    </row>
    <row r="703">
      <c r="A703" s="1" t="s">
        <v>2132</v>
      </c>
      <c r="B703" s="1" t="s">
        <v>2133</v>
      </c>
      <c r="C703" s="1" t="s">
        <v>2134</v>
      </c>
      <c r="D703" s="1">
        <v>0.0</v>
      </c>
      <c r="E703" s="1" t="s">
        <v>124</v>
      </c>
      <c r="F703" s="1">
        <v>34.0</v>
      </c>
      <c r="G703" s="1">
        <v>790.0</v>
      </c>
      <c r="H703" s="1">
        <v>535.0</v>
      </c>
      <c r="I703" s="7">
        <f>IFERROR(__xludf.DUMMYFUNCTION("SPLIT(B703,""T""""Z"")"),41353.0)</f>
        <v>41353</v>
      </c>
      <c r="J703" s="8">
        <f>IFERROR(__xludf.DUMMYFUNCTION("""COMPUTED_VALUE"""),0.40119212962962963)</f>
        <v>0.4011921296</v>
      </c>
      <c r="K703" s="9">
        <f t="shared" si="1"/>
        <v>9</v>
      </c>
      <c r="L703" s="7">
        <f>IFERROR(__xludf.DUMMYFUNCTION("SPLIT(C703,""T""""Z"")"),44798.0)</f>
        <v>44798</v>
      </c>
      <c r="M703" s="8">
        <f>IFERROR(__xludf.DUMMYFUNCTION("""COMPUTED_VALUE"""),0.5991319444444444)</f>
        <v>0.5991319444</v>
      </c>
      <c r="N703" s="10">
        <f t="shared" si="2"/>
        <v>134.3791667</v>
      </c>
      <c r="O703" s="11">
        <f t="shared" si="3"/>
        <v>0.6772151899</v>
      </c>
    </row>
    <row r="704">
      <c r="A704" s="1" t="s">
        <v>2135</v>
      </c>
      <c r="B704" s="1" t="s">
        <v>2136</v>
      </c>
      <c r="C704" s="1" t="s">
        <v>1584</v>
      </c>
      <c r="D704" s="1">
        <v>458.0</v>
      </c>
      <c r="E704" s="1" t="s">
        <v>686</v>
      </c>
      <c r="F704" s="1">
        <v>1063.0</v>
      </c>
      <c r="G704" s="1">
        <v>1508.0</v>
      </c>
      <c r="H704" s="1">
        <v>1431.0</v>
      </c>
      <c r="I704" s="7">
        <f>IFERROR(__xludf.DUMMYFUNCTION("SPLIT(B704,""T""""Z"")"),42387.0)</f>
        <v>42387</v>
      </c>
      <c r="J704" s="8">
        <f>IFERROR(__xludf.DUMMYFUNCTION("""COMPUTED_VALUE"""),0.942962962962963)</f>
        <v>0.942962963</v>
      </c>
      <c r="K704" s="9">
        <f t="shared" si="1"/>
        <v>6</v>
      </c>
      <c r="L704" s="7">
        <f>IFERROR(__xludf.DUMMYFUNCTION("SPLIT(C704,""T""""Z"")"),44798.0)</f>
        <v>44798</v>
      </c>
      <c r="M704" s="8">
        <f>IFERROR(__xludf.DUMMYFUNCTION("""COMPUTED_VALUE"""),0.5640277777777778)</f>
        <v>0.5640277778</v>
      </c>
      <c r="N704" s="10">
        <f t="shared" si="2"/>
        <v>133.5366667</v>
      </c>
      <c r="O704" s="11">
        <f t="shared" si="3"/>
        <v>0.948938992</v>
      </c>
    </row>
    <row r="705">
      <c r="A705" s="1" t="s">
        <v>2137</v>
      </c>
      <c r="B705" s="1" t="s">
        <v>2138</v>
      </c>
      <c r="C705" s="1" t="s">
        <v>2139</v>
      </c>
      <c r="D705" s="1">
        <v>1.0</v>
      </c>
      <c r="E705" s="1" t="s">
        <v>48</v>
      </c>
      <c r="F705" s="1">
        <v>270.0</v>
      </c>
      <c r="G705" s="1">
        <v>269.0</v>
      </c>
      <c r="H705" s="1">
        <v>203.0</v>
      </c>
      <c r="I705" s="7">
        <f>IFERROR(__xludf.DUMMYFUNCTION("SPLIT(B705,""T""""Z"")"),42130.0)</f>
        <v>42130</v>
      </c>
      <c r="J705" s="8">
        <f>IFERROR(__xludf.DUMMYFUNCTION("""COMPUTED_VALUE"""),0.07239583333333334)</f>
        <v>0.07239583333</v>
      </c>
      <c r="K705" s="9">
        <f t="shared" si="1"/>
        <v>7</v>
      </c>
      <c r="L705" s="7">
        <f>IFERROR(__xludf.DUMMYFUNCTION("SPLIT(C705,""T""""Z"")"),44798.0)</f>
        <v>44798</v>
      </c>
      <c r="M705" s="8">
        <f>IFERROR(__xludf.DUMMYFUNCTION("""COMPUTED_VALUE"""),0.3458912037037037)</f>
        <v>0.3458912037</v>
      </c>
      <c r="N705" s="10">
        <f t="shared" si="2"/>
        <v>128.3013889</v>
      </c>
      <c r="O705" s="11">
        <f t="shared" si="3"/>
        <v>0.7546468401</v>
      </c>
    </row>
    <row r="706">
      <c r="A706" s="1" t="s">
        <v>2140</v>
      </c>
      <c r="B706" s="1" t="s">
        <v>2141</v>
      </c>
      <c r="C706" s="1" t="s">
        <v>2142</v>
      </c>
      <c r="D706" s="1">
        <v>10.0</v>
      </c>
      <c r="E706" s="1" t="s">
        <v>38</v>
      </c>
      <c r="F706" s="1">
        <v>0.0</v>
      </c>
      <c r="G706" s="1">
        <v>3093.0</v>
      </c>
      <c r="H706" s="1">
        <v>2863.0</v>
      </c>
      <c r="I706" s="7">
        <f>IFERROR(__xludf.DUMMYFUNCTION("SPLIT(B706,""T""""Z"")"),43713.0)</f>
        <v>43713</v>
      </c>
      <c r="J706" s="8">
        <f>IFERROR(__xludf.DUMMYFUNCTION("""COMPUTED_VALUE"""),0.8960648148148148)</f>
        <v>0.8960648148</v>
      </c>
      <c r="K706" s="9">
        <f t="shared" si="1"/>
        <v>2</v>
      </c>
      <c r="L706" s="7">
        <f>IFERROR(__xludf.DUMMYFUNCTION("SPLIT(C706,""T""""Z"")"),44798.0)</f>
        <v>44798</v>
      </c>
      <c r="M706" s="8">
        <f>IFERROR(__xludf.DUMMYFUNCTION("""COMPUTED_VALUE"""),0.5527199074074074)</f>
        <v>0.5527199074</v>
      </c>
      <c r="N706" s="10">
        <f t="shared" si="2"/>
        <v>133.2652778</v>
      </c>
      <c r="O706" s="11">
        <f t="shared" si="3"/>
        <v>0.9256385386</v>
      </c>
    </row>
    <row r="707">
      <c r="A707" s="1" t="s">
        <v>2143</v>
      </c>
      <c r="B707" s="1" t="s">
        <v>2144</v>
      </c>
      <c r="C707" s="1" t="s">
        <v>2145</v>
      </c>
      <c r="D707" s="1">
        <v>152.0</v>
      </c>
      <c r="E707" s="1" t="s">
        <v>124</v>
      </c>
      <c r="F707" s="1">
        <v>663.0</v>
      </c>
      <c r="G707" s="1">
        <v>795.0</v>
      </c>
      <c r="H707" s="1">
        <v>773.0</v>
      </c>
      <c r="I707" s="7">
        <f>IFERROR(__xludf.DUMMYFUNCTION("SPLIT(B707,""T""""Z"")"),42726.0)</f>
        <v>42726</v>
      </c>
      <c r="J707" s="8">
        <f>IFERROR(__xludf.DUMMYFUNCTION("""COMPUTED_VALUE"""),0.5358680555555555)</f>
        <v>0.5358680556</v>
      </c>
      <c r="K707" s="9">
        <f t="shared" si="1"/>
        <v>5</v>
      </c>
      <c r="L707" s="7">
        <f>IFERROR(__xludf.DUMMYFUNCTION("SPLIT(C707,""T""""Z"")"),44798.0)</f>
        <v>44798</v>
      </c>
      <c r="M707" s="8">
        <f>IFERROR(__xludf.DUMMYFUNCTION("""COMPUTED_VALUE"""),0.533125)</f>
        <v>0.533125</v>
      </c>
      <c r="N707" s="10">
        <f t="shared" si="2"/>
        <v>132.795</v>
      </c>
      <c r="O707" s="11">
        <f t="shared" si="3"/>
        <v>0.972327044</v>
      </c>
    </row>
    <row r="708">
      <c r="A708" s="1" t="s">
        <v>2146</v>
      </c>
      <c r="B708" s="1" t="s">
        <v>2147</v>
      </c>
      <c r="C708" s="1" t="s">
        <v>205</v>
      </c>
      <c r="D708" s="1">
        <v>60.0</v>
      </c>
      <c r="E708" s="1" t="s">
        <v>124</v>
      </c>
      <c r="F708" s="1">
        <v>399.0</v>
      </c>
      <c r="G708" s="1">
        <v>1986.0</v>
      </c>
      <c r="H708" s="1">
        <v>1752.0</v>
      </c>
      <c r="I708" s="7">
        <f>IFERROR(__xludf.DUMMYFUNCTION("SPLIT(B708,""T""""Z"")"),40152.0)</f>
        <v>40152</v>
      </c>
      <c r="J708" s="8">
        <f>IFERROR(__xludf.DUMMYFUNCTION("""COMPUTED_VALUE"""),0.9273726851851852)</f>
        <v>0.9273726852</v>
      </c>
      <c r="K708" s="9">
        <f t="shared" si="1"/>
        <v>12</v>
      </c>
      <c r="L708" s="7">
        <f>IFERROR(__xludf.DUMMYFUNCTION("SPLIT(C708,""T""""Z"")"),44798.0)</f>
        <v>44798</v>
      </c>
      <c r="M708" s="8">
        <f>IFERROR(__xludf.DUMMYFUNCTION("""COMPUTED_VALUE"""),0.5506134259259259)</f>
        <v>0.5506134259</v>
      </c>
      <c r="N708" s="10">
        <f t="shared" si="2"/>
        <v>133.2147222</v>
      </c>
      <c r="O708" s="11">
        <f t="shared" si="3"/>
        <v>0.8821752266</v>
      </c>
    </row>
    <row r="709">
      <c r="A709" s="1" t="s">
        <v>2148</v>
      </c>
      <c r="B709" s="1" t="s">
        <v>2149</v>
      </c>
      <c r="C709" s="1" t="s">
        <v>2150</v>
      </c>
      <c r="D709" s="1">
        <v>0.0</v>
      </c>
      <c r="E709" s="1" t="s">
        <v>48</v>
      </c>
      <c r="F709" s="1">
        <v>87.0</v>
      </c>
      <c r="G709" s="1">
        <v>25.0</v>
      </c>
      <c r="H709" s="1">
        <v>17.0</v>
      </c>
      <c r="I709" s="7">
        <f>IFERROR(__xludf.DUMMYFUNCTION("SPLIT(B709,""T""""Z"")"),42091.0)</f>
        <v>42091</v>
      </c>
      <c r="J709" s="8">
        <f>IFERROR(__xludf.DUMMYFUNCTION("""COMPUTED_VALUE"""),0.7032407407407407)</f>
        <v>0.7032407407</v>
      </c>
      <c r="K709" s="9">
        <f t="shared" si="1"/>
        <v>7</v>
      </c>
      <c r="L709" s="7">
        <f>IFERROR(__xludf.DUMMYFUNCTION("SPLIT(C709,""T""""Z"")"),44798.0)</f>
        <v>44798</v>
      </c>
      <c r="M709" s="8">
        <f>IFERROR(__xludf.DUMMYFUNCTION("""COMPUTED_VALUE"""),0.557511574074074)</f>
        <v>0.5575115741</v>
      </c>
      <c r="N709" s="10">
        <f t="shared" si="2"/>
        <v>133.3802778</v>
      </c>
      <c r="O709" s="11">
        <f t="shared" si="3"/>
        <v>0.68</v>
      </c>
    </row>
    <row r="710">
      <c r="A710" s="1" t="s">
        <v>2151</v>
      </c>
      <c r="B710" s="1" t="s">
        <v>2152</v>
      </c>
      <c r="C710" s="1" t="s">
        <v>2153</v>
      </c>
      <c r="D710" s="1">
        <v>26.0</v>
      </c>
      <c r="E710" s="1" t="s">
        <v>48</v>
      </c>
      <c r="F710" s="1">
        <v>216.0</v>
      </c>
      <c r="G710" s="1">
        <v>1759.0</v>
      </c>
      <c r="H710" s="1">
        <v>971.0</v>
      </c>
      <c r="I710" s="7">
        <f>IFERROR(__xludf.DUMMYFUNCTION("SPLIT(B710,""T""""Z"")"),42419.0)</f>
        <v>42419</v>
      </c>
      <c r="J710" s="8">
        <f>IFERROR(__xludf.DUMMYFUNCTION("""COMPUTED_VALUE"""),0.8461342592592592)</f>
        <v>0.8461342593</v>
      </c>
      <c r="K710" s="9">
        <f t="shared" si="1"/>
        <v>6</v>
      </c>
      <c r="L710" s="7">
        <f>IFERROR(__xludf.DUMMYFUNCTION("SPLIT(C710,""T""""Z"")"),44798.0)</f>
        <v>44798</v>
      </c>
      <c r="M710" s="8">
        <f>IFERROR(__xludf.DUMMYFUNCTION("""COMPUTED_VALUE"""),0.4914699074074074)</f>
        <v>0.4914699074</v>
      </c>
      <c r="N710" s="10">
        <f t="shared" si="2"/>
        <v>131.7952778</v>
      </c>
      <c r="O710" s="11">
        <f t="shared" si="3"/>
        <v>0.5520181922</v>
      </c>
    </row>
    <row r="711">
      <c r="A711" s="1" t="s">
        <v>2154</v>
      </c>
      <c r="B711" s="1" t="s">
        <v>2155</v>
      </c>
      <c r="C711" s="1" t="s">
        <v>2156</v>
      </c>
      <c r="D711" s="1">
        <v>95.0</v>
      </c>
      <c r="E711" s="1" t="s">
        <v>124</v>
      </c>
      <c r="F711" s="1">
        <v>977.0</v>
      </c>
      <c r="G711" s="1">
        <v>926.0</v>
      </c>
      <c r="H711" s="1">
        <v>902.0</v>
      </c>
      <c r="I711" s="7">
        <f>IFERROR(__xludf.DUMMYFUNCTION("SPLIT(B711,""T""""Z"")"),43846.0)</f>
        <v>43846</v>
      </c>
      <c r="J711" s="8">
        <f>IFERROR(__xludf.DUMMYFUNCTION("""COMPUTED_VALUE"""),0.16620370370370371)</f>
        <v>0.1662037037</v>
      </c>
      <c r="K711" s="9">
        <f t="shared" si="1"/>
        <v>2</v>
      </c>
      <c r="L711" s="7">
        <f>IFERROR(__xludf.DUMMYFUNCTION("SPLIT(C711,""T""""Z"")"),44798.0)</f>
        <v>44798</v>
      </c>
      <c r="M711" s="8">
        <f>IFERROR(__xludf.DUMMYFUNCTION("""COMPUTED_VALUE"""),0.5639236111111111)</f>
        <v>0.5639236111</v>
      </c>
      <c r="N711" s="10">
        <f t="shared" si="2"/>
        <v>133.5341667</v>
      </c>
      <c r="O711" s="11">
        <f t="shared" si="3"/>
        <v>0.9740820734</v>
      </c>
    </row>
    <row r="712">
      <c r="A712" s="1" t="s">
        <v>2157</v>
      </c>
      <c r="B712" s="1" t="s">
        <v>2158</v>
      </c>
      <c r="C712" s="1" t="s">
        <v>2159</v>
      </c>
      <c r="D712" s="1">
        <v>2.0</v>
      </c>
      <c r="E712" s="1" t="s">
        <v>48</v>
      </c>
      <c r="F712" s="1">
        <v>8.0</v>
      </c>
      <c r="G712" s="1">
        <v>5120.0</v>
      </c>
      <c r="H712" s="1">
        <v>22.0</v>
      </c>
      <c r="I712" s="7">
        <f>IFERROR(__xludf.DUMMYFUNCTION("SPLIT(B712,""T""""Z"")"),43572.0)</f>
        <v>43572</v>
      </c>
      <c r="J712" s="8">
        <f>IFERROR(__xludf.DUMMYFUNCTION("""COMPUTED_VALUE"""),0.12914351851851852)</f>
        <v>0.1291435185</v>
      </c>
      <c r="K712" s="9">
        <f t="shared" si="1"/>
        <v>3</v>
      </c>
      <c r="L712" s="7">
        <f>IFERROR(__xludf.DUMMYFUNCTION("SPLIT(C712,""T""""Z"")"),44798.0)</f>
        <v>44798</v>
      </c>
      <c r="M712" s="8">
        <f>IFERROR(__xludf.DUMMYFUNCTION("""COMPUTED_VALUE"""),0.4164467592592593)</f>
        <v>0.4164467593</v>
      </c>
      <c r="N712" s="10">
        <f t="shared" si="2"/>
        <v>129.9947222</v>
      </c>
      <c r="O712" s="11">
        <f t="shared" si="3"/>
        <v>0.004296875</v>
      </c>
    </row>
    <row r="713">
      <c r="A713" s="1" t="s">
        <v>2160</v>
      </c>
      <c r="B713" s="1" t="s">
        <v>2161</v>
      </c>
      <c r="C713" s="1" t="s">
        <v>2162</v>
      </c>
      <c r="D713" s="1">
        <v>0.0</v>
      </c>
      <c r="E713" s="13" t="s">
        <v>22</v>
      </c>
      <c r="F713" s="1">
        <v>2.0</v>
      </c>
      <c r="G713" s="1">
        <v>142.0</v>
      </c>
      <c r="H713" s="1">
        <v>25.0</v>
      </c>
      <c r="I713" s="7">
        <f>IFERROR(__xludf.DUMMYFUNCTION("SPLIT(B713,""T""""Z"")"),44195.0)</f>
        <v>44195</v>
      </c>
      <c r="J713" s="8">
        <f>IFERROR(__xludf.DUMMYFUNCTION("""COMPUTED_VALUE"""),0.6116898148148148)</f>
        <v>0.6116898148</v>
      </c>
      <c r="K713" s="9">
        <f t="shared" si="1"/>
        <v>1</v>
      </c>
      <c r="L713" s="7">
        <f>IFERROR(__xludf.DUMMYFUNCTION("SPLIT(C713,""T""""Z"")"),44798.0)</f>
        <v>44798</v>
      </c>
      <c r="M713" s="8">
        <f>IFERROR(__xludf.DUMMYFUNCTION("""COMPUTED_VALUE"""),0.37590277777777775)</f>
        <v>0.3759027778</v>
      </c>
      <c r="N713" s="12">
        <f t="shared" si="2"/>
        <v>129.0216667</v>
      </c>
      <c r="O713" s="11">
        <f t="shared" si="3"/>
        <v>0.176056338</v>
      </c>
    </row>
    <row r="714">
      <c r="A714" s="1" t="s">
        <v>2163</v>
      </c>
      <c r="B714" s="1" t="s">
        <v>2164</v>
      </c>
      <c r="C714" s="1" t="s">
        <v>2165</v>
      </c>
      <c r="D714" s="1">
        <v>8.0</v>
      </c>
      <c r="E714" s="1" t="s">
        <v>48</v>
      </c>
      <c r="F714" s="1">
        <v>465.0</v>
      </c>
      <c r="G714" s="1">
        <v>2139.0</v>
      </c>
      <c r="H714" s="1">
        <v>1790.0</v>
      </c>
      <c r="I714" s="7">
        <f>IFERROR(__xludf.DUMMYFUNCTION("SPLIT(B714,""T""""Z"")"),42688.0)</f>
        <v>42688</v>
      </c>
      <c r="J714" s="8">
        <f>IFERROR(__xludf.DUMMYFUNCTION("""COMPUTED_VALUE"""),0.33814814814814814)</f>
        <v>0.3381481481</v>
      </c>
      <c r="K714" s="9">
        <f t="shared" si="1"/>
        <v>5</v>
      </c>
      <c r="L714" s="7">
        <f>IFERROR(__xludf.DUMMYFUNCTION("SPLIT(C714,""T""""Z"")"),44798.0)</f>
        <v>44798</v>
      </c>
      <c r="M714" s="8">
        <f>IFERROR(__xludf.DUMMYFUNCTION("""COMPUTED_VALUE"""),0.1688310185185185)</f>
        <v>0.1688310185</v>
      </c>
      <c r="N714" s="10">
        <f t="shared" si="2"/>
        <v>124.0519444</v>
      </c>
      <c r="O714" s="11">
        <f t="shared" si="3"/>
        <v>0.8368396447</v>
      </c>
    </row>
    <row r="715">
      <c r="A715" s="1" t="s">
        <v>2166</v>
      </c>
      <c r="B715" s="1" t="s">
        <v>2167</v>
      </c>
      <c r="C715" s="1" t="s">
        <v>2168</v>
      </c>
      <c r="D715" s="1">
        <v>44.0</v>
      </c>
      <c r="E715" s="1" t="s">
        <v>124</v>
      </c>
      <c r="F715" s="1">
        <v>296.0</v>
      </c>
      <c r="G715" s="1">
        <v>1532.0</v>
      </c>
      <c r="H715" s="1">
        <v>1224.0</v>
      </c>
      <c r="I715" s="7">
        <f>IFERROR(__xludf.DUMMYFUNCTION("SPLIT(B715,""T""""Z"")"),43127.0)</f>
        <v>43127</v>
      </c>
      <c r="J715" s="8">
        <f>IFERROR(__xludf.DUMMYFUNCTION("""COMPUTED_VALUE"""),0.5001736111111111)</f>
        <v>0.5001736111</v>
      </c>
      <c r="K715" s="9">
        <f t="shared" si="1"/>
        <v>4</v>
      </c>
      <c r="L715" s="7">
        <f>IFERROR(__xludf.DUMMYFUNCTION("SPLIT(C715,""T""""Z"")"),44798.0)</f>
        <v>44798</v>
      </c>
      <c r="M715" s="8">
        <f>IFERROR(__xludf.DUMMYFUNCTION("""COMPUTED_VALUE"""),0.5616087962962963)</f>
        <v>0.5616087963</v>
      </c>
      <c r="N715" s="10">
        <f t="shared" si="2"/>
        <v>133.4786111</v>
      </c>
      <c r="O715" s="11">
        <f t="shared" si="3"/>
        <v>0.7989556136</v>
      </c>
    </row>
    <row r="716">
      <c r="A716" s="1" t="s">
        <v>2169</v>
      </c>
      <c r="B716" s="1" t="s">
        <v>2170</v>
      </c>
      <c r="C716" s="1" t="s">
        <v>2171</v>
      </c>
      <c r="D716" s="1">
        <v>0.0</v>
      </c>
      <c r="E716" s="1" t="s">
        <v>439</v>
      </c>
      <c r="F716" s="1">
        <v>680.0</v>
      </c>
      <c r="G716" s="1">
        <v>82.0</v>
      </c>
      <c r="H716" s="1">
        <v>74.0</v>
      </c>
      <c r="I716" s="7">
        <f>IFERROR(__xludf.DUMMYFUNCTION("SPLIT(B716,""T""""Z"")"),42168.0)</f>
        <v>42168</v>
      </c>
      <c r="J716" s="8">
        <f>IFERROR(__xludf.DUMMYFUNCTION("""COMPUTED_VALUE"""),0.7675578703703704)</f>
        <v>0.7675578704</v>
      </c>
      <c r="K716" s="9">
        <f t="shared" si="1"/>
        <v>7</v>
      </c>
      <c r="L716" s="7">
        <f>IFERROR(__xludf.DUMMYFUNCTION("SPLIT(C716,""T""""Z"")"),44798.0)</f>
        <v>44798</v>
      </c>
      <c r="M716" s="8">
        <f>IFERROR(__xludf.DUMMYFUNCTION("""COMPUTED_VALUE"""),0.09042824074074074)</f>
        <v>0.09042824074</v>
      </c>
      <c r="N716" s="10">
        <f t="shared" si="2"/>
        <v>122.1702778</v>
      </c>
      <c r="O716" s="11">
        <f t="shared" si="3"/>
        <v>0.9024390244</v>
      </c>
    </row>
    <row r="717">
      <c r="A717" s="1" t="s">
        <v>2172</v>
      </c>
      <c r="B717" s="1" t="s">
        <v>2173</v>
      </c>
      <c r="C717" s="1" t="s">
        <v>2174</v>
      </c>
      <c r="D717" s="1">
        <v>686.0</v>
      </c>
      <c r="E717" s="1" t="s">
        <v>48</v>
      </c>
      <c r="F717" s="1">
        <v>3194.0</v>
      </c>
      <c r="G717" s="1">
        <v>6894.0</v>
      </c>
      <c r="H717" s="1">
        <v>6549.0</v>
      </c>
      <c r="I717" s="7">
        <f>IFERROR(__xludf.DUMMYFUNCTION("SPLIT(B717,""T""""Z"")"),42282.0)</f>
        <v>42282</v>
      </c>
      <c r="J717" s="8">
        <f>IFERROR(__xludf.DUMMYFUNCTION("""COMPUTED_VALUE"""),0.6566666666666666)</f>
        <v>0.6566666667</v>
      </c>
      <c r="K717" s="9">
        <f t="shared" si="1"/>
        <v>6</v>
      </c>
      <c r="L717" s="7">
        <f>IFERROR(__xludf.DUMMYFUNCTION("SPLIT(C717,""T""""Z"")"),44798.0)</f>
        <v>44798</v>
      </c>
      <c r="M717" s="8">
        <f>IFERROR(__xludf.DUMMYFUNCTION("""COMPUTED_VALUE"""),0.5531597222222222)</f>
        <v>0.5531597222</v>
      </c>
      <c r="N717" s="10">
        <f t="shared" si="2"/>
        <v>133.2758333</v>
      </c>
      <c r="O717" s="11">
        <f t="shared" si="3"/>
        <v>0.9499564839</v>
      </c>
    </row>
    <row r="718">
      <c r="A718" s="1" t="s">
        <v>2175</v>
      </c>
      <c r="B718" s="1" t="s">
        <v>2176</v>
      </c>
      <c r="C718" s="1" t="s">
        <v>2177</v>
      </c>
      <c r="D718" s="1">
        <v>115.0</v>
      </c>
      <c r="E718" s="1" t="s">
        <v>347</v>
      </c>
      <c r="F718" s="1">
        <v>1071.0</v>
      </c>
      <c r="G718" s="1">
        <v>3905.0</v>
      </c>
      <c r="H718" s="1">
        <v>3865.0</v>
      </c>
      <c r="I718" s="7">
        <f>IFERROR(__xludf.DUMMYFUNCTION("SPLIT(B718,""T""""Z"")"),41144.0)</f>
        <v>41144</v>
      </c>
      <c r="J718" s="8">
        <f>IFERROR(__xludf.DUMMYFUNCTION("""COMPUTED_VALUE"""),0.8725694444444444)</f>
        <v>0.8725694444</v>
      </c>
      <c r="K718" s="9">
        <f t="shared" si="1"/>
        <v>10</v>
      </c>
      <c r="L718" s="7">
        <f>IFERROR(__xludf.DUMMYFUNCTION("SPLIT(C718,""T""""Z"")"),44798.0)</f>
        <v>44798</v>
      </c>
      <c r="M718" s="8">
        <f>IFERROR(__xludf.DUMMYFUNCTION("""COMPUTED_VALUE"""),0.4731712962962963)</f>
        <v>0.4731712963</v>
      </c>
      <c r="N718" s="10">
        <f t="shared" si="2"/>
        <v>131.3561111</v>
      </c>
      <c r="O718" s="11">
        <f t="shared" si="3"/>
        <v>0.9897567222</v>
      </c>
    </row>
    <row r="719">
      <c r="A719" s="1" t="s">
        <v>2178</v>
      </c>
      <c r="B719" s="1" t="s">
        <v>2179</v>
      </c>
      <c r="C719" s="1" t="s">
        <v>2180</v>
      </c>
      <c r="D719" s="1">
        <v>0.0</v>
      </c>
      <c r="E719" s="1" t="s">
        <v>48</v>
      </c>
      <c r="F719" s="1">
        <v>576.0</v>
      </c>
      <c r="G719" s="1">
        <v>148.0</v>
      </c>
      <c r="H719" s="1">
        <v>147.0</v>
      </c>
      <c r="I719" s="7">
        <f>IFERROR(__xludf.DUMMYFUNCTION("SPLIT(B719,""T""""Z"")"),42929.0)</f>
        <v>42929</v>
      </c>
      <c r="J719" s="8">
        <f>IFERROR(__xludf.DUMMYFUNCTION("""COMPUTED_VALUE"""),0.25871527777777775)</f>
        <v>0.2587152778</v>
      </c>
      <c r="K719" s="9">
        <f t="shared" si="1"/>
        <v>5</v>
      </c>
      <c r="L719" s="7">
        <f>IFERROR(__xludf.DUMMYFUNCTION("SPLIT(C719,""T""""Z"")"),44798.0)</f>
        <v>44798</v>
      </c>
      <c r="M719" s="8">
        <f>IFERROR(__xludf.DUMMYFUNCTION("""COMPUTED_VALUE"""),0.5651388888888889)</f>
        <v>0.5651388889</v>
      </c>
      <c r="N719" s="10">
        <f t="shared" si="2"/>
        <v>133.5633333</v>
      </c>
      <c r="O719" s="11">
        <f t="shared" si="3"/>
        <v>0.9932432432</v>
      </c>
    </row>
    <row r="720">
      <c r="A720" s="1" t="s">
        <v>2181</v>
      </c>
      <c r="B720" s="1" t="s">
        <v>2182</v>
      </c>
      <c r="C720" s="1" t="s">
        <v>2183</v>
      </c>
      <c r="D720" s="1">
        <v>256.0</v>
      </c>
      <c r="E720" s="1" t="s">
        <v>2184</v>
      </c>
      <c r="F720" s="1">
        <v>160.0</v>
      </c>
      <c r="G720" s="1">
        <v>6581.0</v>
      </c>
      <c r="H720" s="1">
        <v>4314.0</v>
      </c>
      <c r="I720" s="7">
        <f>IFERROR(__xludf.DUMMYFUNCTION("SPLIT(B720,""T""""Z"")"),41940.0)</f>
        <v>41940</v>
      </c>
      <c r="J720" s="8">
        <f>IFERROR(__xludf.DUMMYFUNCTION("""COMPUTED_VALUE"""),0.7206597222222222)</f>
        <v>0.7206597222</v>
      </c>
      <c r="K720" s="9">
        <f t="shared" si="1"/>
        <v>7</v>
      </c>
      <c r="L720" s="7">
        <f>IFERROR(__xludf.DUMMYFUNCTION("SPLIT(C720,""T""""Z"")"),44798.0)</f>
        <v>44798</v>
      </c>
      <c r="M720" s="8">
        <f>IFERROR(__xludf.DUMMYFUNCTION("""COMPUTED_VALUE"""),0.4827314814814815)</f>
        <v>0.4827314815</v>
      </c>
      <c r="N720" s="10">
        <f t="shared" si="2"/>
        <v>131.5855556</v>
      </c>
      <c r="O720" s="11">
        <f t="shared" si="3"/>
        <v>0.6555234767</v>
      </c>
    </row>
    <row r="721">
      <c r="A721" s="1" t="s">
        <v>2185</v>
      </c>
      <c r="B721" s="1" t="s">
        <v>2186</v>
      </c>
      <c r="C721" s="1" t="s">
        <v>2187</v>
      </c>
      <c r="D721" s="1">
        <v>40.0</v>
      </c>
      <c r="E721" s="1" t="s">
        <v>48</v>
      </c>
      <c r="F721" s="1">
        <v>155.0</v>
      </c>
      <c r="G721" s="1">
        <v>1287.0</v>
      </c>
      <c r="H721" s="1">
        <v>1237.0</v>
      </c>
      <c r="I721" s="7">
        <f>IFERROR(__xludf.DUMMYFUNCTION("SPLIT(B721,""T""""Z"")"),42590.0)</f>
        <v>42590</v>
      </c>
      <c r="J721" s="8">
        <f>IFERROR(__xludf.DUMMYFUNCTION("""COMPUTED_VALUE"""),0.8208217592592593)</f>
        <v>0.8208217593</v>
      </c>
      <c r="K721" s="9">
        <f t="shared" si="1"/>
        <v>6</v>
      </c>
      <c r="L721" s="7">
        <f>IFERROR(__xludf.DUMMYFUNCTION("SPLIT(C721,""T""""Z"")"),44798.0)</f>
        <v>44798</v>
      </c>
      <c r="M721" s="8">
        <f>IFERROR(__xludf.DUMMYFUNCTION("""COMPUTED_VALUE"""),0.604849537037037)</f>
        <v>0.604849537</v>
      </c>
      <c r="N721" s="10">
        <f t="shared" si="2"/>
        <v>134.5163889</v>
      </c>
      <c r="O721" s="11">
        <f t="shared" si="3"/>
        <v>0.9611499611</v>
      </c>
    </row>
    <row r="722">
      <c r="A722" s="1" t="s">
        <v>2188</v>
      </c>
      <c r="B722" s="1" t="s">
        <v>2189</v>
      </c>
      <c r="C722" s="1" t="s">
        <v>2190</v>
      </c>
      <c r="D722" s="1">
        <v>0.0</v>
      </c>
      <c r="E722" s="13" t="s">
        <v>22</v>
      </c>
      <c r="F722" s="1">
        <v>62.0</v>
      </c>
      <c r="G722" s="1">
        <v>38.0</v>
      </c>
      <c r="H722" s="1">
        <v>22.0</v>
      </c>
      <c r="I722" s="7">
        <f>IFERROR(__xludf.DUMMYFUNCTION("SPLIT(B722,""T""""Z"")"),42391.0)</f>
        <v>42391</v>
      </c>
      <c r="J722" s="8">
        <f>IFERROR(__xludf.DUMMYFUNCTION("""COMPUTED_VALUE"""),0.09060185185185185)</f>
        <v>0.09060185185</v>
      </c>
      <c r="K722" s="9">
        <f t="shared" si="1"/>
        <v>6</v>
      </c>
      <c r="L722" s="7">
        <f>IFERROR(__xludf.DUMMYFUNCTION("SPLIT(C722,""T""""Z"")"),44798.0)</f>
        <v>44798</v>
      </c>
      <c r="M722" s="8">
        <f>IFERROR(__xludf.DUMMYFUNCTION("""COMPUTED_VALUE"""),0.1907175925925926)</f>
        <v>0.1907175926</v>
      </c>
      <c r="N722" s="12">
        <f t="shared" si="2"/>
        <v>124.5772222</v>
      </c>
      <c r="O722" s="11">
        <f t="shared" si="3"/>
        <v>0.5789473684</v>
      </c>
    </row>
    <row r="723">
      <c r="A723" s="1" t="s">
        <v>2191</v>
      </c>
      <c r="B723" s="1" t="s">
        <v>2192</v>
      </c>
      <c r="C723" s="1" t="s">
        <v>2193</v>
      </c>
      <c r="D723" s="1">
        <v>59.0</v>
      </c>
      <c r="E723" s="1" t="s">
        <v>38</v>
      </c>
      <c r="F723" s="1">
        <v>13688.0</v>
      </c>
      <c r="G723" s="1">
        <v>11079.0</v>
      </c>
      <c r="H723" s="1">
        <v>8648.0</v>
      </c>
      <c r="I723" s="7">
        <f>IFERROR(__xludf.DUMMYFUNCTION("SPLIT(B723,""T""""Z"")"),42668.0)</f>
        <v>42668</v>
      </c>
      <c r="J723" s="8">
        <f>IFERROR(__xludf.DUMMYFUNCTION("""COMPUTED_VALUE"""),0.8184027777777778)</f>
        <v>0.8184027778</v>
      </c>
      <c r="K723" s="9">
        <f t="shared" si="1"/>
        <v>5</v>
      </c>
      <c r="L723" s="7">
        <f>IFERROR(__xludf.DUMMYFUNCTION("SPLIT(C723,""T""""Z"")"),44798.0)</f>
        <v>44798</v>
      </c>
      <c r="M723" s="8">
        <f>IFERROR(__xludf.DUMMYFUNCTION("""COMPUTED_VALUE"""),0.5172453703703703)</f>
        <v>0.5172453704</v>
      </c>
      <c r="N723" s="10">
        <f t="shared" si="2"/>
        <v>132.4138889</v>
      </c>
      <c r="O723" s="11">
        <f t="shared" si="3"/>
        <v>0.7805758642</v>
      </c>
    </row>
    <row r="724">
      <c r="A724" s="1" t="s">
        <v>2194</v>
      </c>
      <c r="B724" s="1" t="s">
        <v>2195</v>
      </c>
      <c r="C724" s="1" t="s">
        <v>2196</v>
      </c>
      <c r="D724" s="1">
        <v>0.0</v>
      </c>
      <c r="E724" s="13" t="s">
        <v>22</v>
      </c>
      <c r="F724" s="1">
        <v>43.0</v>
      </c>
      <c r="G724" s="1">
        <v>51.0</v>
      </c>
      <c r="H724" s="1">
        <v>23.0</v>
      </c>
      <c r="I724" s="7">
        <f>IFERROR(__xludf.DUMMYFUNCTION("SPLIT(B724,""T""""Z"")"),41500.0)</f>
        <v>41500</v>
      </c>
      <c r="J724" s="8">
        <f>IFERROR(__xludf.DUMMYFUNCTION("""COMPUTED_VALUE"""),0.3568865740740741)</f>
        <v>0.3568865741</v>
      </c>
      <c r="K724" s="9">
        <f t="shared" si="1"/>
        <v>9</v>
      </c>
      <c r="L724" s="7">
        <f>IFERROR(__xludf.DUMMYFUNCTION("SPLIT(C724,""T""""Z"")"),44798.0)</f>
        <v>44798</v>
      </c>
      <c r="M724" s="8">
        <f>IFERROR(__xludf.DUMMYFUNCTION("""COMPUTED_VALUE"""),0.37840277777777775)</f>
        <v>0.3784027778</v>
      </c>
      <c r="N724" s="12">
        <f t="shared" si="2"/>
        <v>129.0816667</v>
      </c>
      <c r="O724" s="11">
        <f t="shared" si="3"/>
        <v>0.4509803922</v>
      </c>
    </row>
    <row r="725">
      <c r="A725" s="1" t="s">
        <v>2197</v>
      </c>
      <c r="B725" s="1" t="s">
        <v>2198</v>
      </c>
      <c r="C725" s="1" t="s">
        <v>2199</v>
      </c>
      <c r="D725" s="1">
        <v>2.0</v>
      </c>
      <c r="E725" s="1" t="s">
        <v>599</v>
      </c>
      <c r="F725" s="1">
        <v>65.0</v>
      </c>
      <c r="G725" s="1">
        <v>237.0</v>
      </c>
      <c r="H725" s="1">
        <v>186.0</v>
      </c>
      <c r="I725" s="7">
        <f>IFERROR(__xludf.DUMMYFUNCTION("SPLIT(B725,""T""""Z"")"),41730.0)</f>
        <v>41730</v>
      </c>
      <c r="J725" s="8">
        <f>IFERROR(__xludf.DUMMYFUNCTION("""COMPUTED_VALUE"""),0.9449074074074074)</f>
        <v>0.9449074074</v>
      </c>
      <c r="K725" s="9">
        <f t="shared" si="1"/>
        <v>8</v>
      </c>
      <c r="L725" s="7">
        <f>IFERROR(__xludf.DUMMYFUNCTION("SPLIT(C725,""T""""Z"")"),44798.0)</f>
        <v>44798</v>
      </c>
      <c r="M725" s="8">
        <f>IFERROR(__xludf.DUMMYFUNCTION("""COMPUTED_VALUE"""),0.14423611111111112)</f>
        <v>0.1442361111</v>
      </c>
      <c r="N725" s="10">
        <f t="shared" si="2"/>
        <v>123.4616667</v>
      </c>
      <c r="O725" s="11">
        <f t="shared" si="3"/>
        <v>0.7848101266</v>
      </c>
    </row>
    <row r="726">
      <c r="A726" s="1" t="s">
        <v>2200</v>
      </c>
      <c r="B726" s="1" t="s">
        <v>2201</v>
      </c>
      <c r="C726" s="1" t="s">
        <v>2202</v>
      </c>
      <c r="D726" s="1">
        <v>98.0</v>
      </c>
      <c r="E726" s="1" t="s">
        <v>38</v>
      </c>
      <c r="F726" s="1">
        <v>2662.0</v>
      </c>
      <c r="G726" s="1">
        <v>2226.0</v>
      </c>
      <c r="H726" s="1">
        <v>1739.0</v>
      </c>
      <c r="I726" s="7">
        <f>IFERROR(__xludf.DUMMYFUNCTION("SPLIT(B726,""T""""Z"")"),41575.0)</f>
        <v>41575</v>
      </c>
      <c r="J726" s="8">
        <f>IFERROR(__xludf.DUMMYFUNCTION("""COMPUTED_VALUE"""),0.5553125)</f>
        <v>0.5553125</v>
      </c>
      <c r="K726" s="9">
        <f t="shared" si="1"/>
        <v>8</v>
      </c>
      <c r="L726" s="7">
        <f>IFERROR(__xludf.DUMMYFUNCTION("SPLIT(C726,""T""""Z"")"),44798.0)</f>
        <v>44798</v>
      </c>
      <c r="M726" s="8">
        <f>IFERROR(__xludf.DUMMYFUNCTION("""COMPUTED_VALUE"""),0.5822685185185185)</f>
        <v>0.5822685185</v>
      </c>
      <c r="N726" s="10">
        <f t="shared" si="2"/>
        <v>133.9744444</v>
      </c>
      <c r="O726" s="11">
        <f t="shared" si="3"/>
        <v>0.7812219227</v>
      </c>
    </row>
    <row r="727">
      <c r="A727" s="1" t="s">
        <v>2203</v>
      </c>
      <c r="B727" s="1" t="s">
        <v>2204</v>
      </c>
      <c r="C727" s="1" t="s">
        <v>2205</v>
      </c>
      <c r="D727" s="1">
        <v>74.0</v>
      </c>
      <c r="E727" s="1" t="s">
        <v>48</v>
      </c>
      <c r="F727" s="1">
        <v>1159.0</v>
      </c>
      <c r="G727" s="1">
        <v>2832.0</v>
      </c>
      <c r="H727" s="1">
        <v>2590.0</v>
      </c>
      <c r="I727" s="7">
        <f>IFERROR(__xludf.DUMMYFUNCTION("SPLIT(B727,""T""""Z"")"),40609.0)</f>
        <v>40609</v>
      </c>
      <c r="J727" s="8">
        <f>IFERROR(__xludf.DUMMYFUNCTION("""COMPUTED_VALUE"""),0.7808449074074074)</f>
        <v>0.7808449074</v>
      </c>
      <c r="K727" s="9">
        <f t="shared" si="1"/>
        <v>11</v>
      </c>
      <c r="L727" s="7">
        <f>IFERROR(__xludf.DUMMYFUNCTION("SPLIT(C727,""T""""Z"")"),44798.0)</f>
        <v>44798</v>
      </c>
      <c r="M727" s="8">
        <f>IFERROR(__xludf.DUMMYFUNCTION("""COMPUTED_VALUE"""),0.5995486111111111)</f>
        <v>0.5995486111</v>
      </c>
      <c r="N727" s="10">
        <f t="shared" si="2"/>
        <v>134.3891667</v>
      </c>
      <c r="O727" s="11">
        <f t="shared" si="3"/>
        <v>0.9145480226</v>
      </c>
    </row>
    <row r="728">
      <c r="A728" s="1" t="s">
        <v>2206</v>
      </c>
      <c r="B728" s="1" t="s">
        <v>2207</v>
      </c>
      <c r="C728" s="1" t="s">
        <v>2208</v>
      </c>
      <c r="D728" s="1">
        <v>30.0</v>
      </c>
      <c r="E728" s="1" t="s">
        <v>18</v>
      </c>
      <c r="F728" s="1">
        <v>228.0</v>
      </c>
      <c r="G728" s="1">
        <v>519.0</v>
      </c>
      <c r="H728" s="1">
        <v>493.0</v>
      </c>
      <c r="I728" s="7">
        <f>IFERROR(__xludf.DUMMYFUNCTION("SPLIT(B728,""T""""Z"")"),43214.0)</f>
        <v>43214</v>
      </c>
      <c r="J728" s="8">
        <f>IFERROR(__xludf.DUMMYFUNCTION("""COMPUTED_VALUE"""),0.6919791666666667)</f>
        <v>0.6919791667</v>
      </c>
      <c r="K728" s="9">
        <f t="shared" si="1"/>
        <v>4</v>
      </c>
      <c r="L728" s="7">
        <f>IFERROR(__xludf.DUMMYFUNCTION("SPLIT(C728,""T""""Z"")"),44798.0)</f>
        <v>44798</v>
      </c>
      <c r="M728" s="8">
        <f>IFERROR(__xludf.DUMMYFUNCTION("""COMPUTED_VALUE"""),0.6034490740740741)</f>
        <v>0.6034490741</v>
      </c>
      <c r="N728" s="10">
        <f t="shared" si="2"/>
        <v>134.4827778</v>
      </c>
      <c r="O728" s="11">
        <f t="shared" si="3"/>
        <v>0.9499036609</v>
      </c>
    </row>
    <row r="729">
      <c r="A729" s="1" t="s">
        <v>2209</v>
      </c>
      <c r="B729" s="1" t="s">
        <v>2210</v>
      </c>
      <c r="C729" s="1" t="s">
        <v>2211</v>
      </c>
      <c r="D729" s="1">
        <v>22.0</v>
      </c>
      <c r="E729" s="1" t="s">
        <v>52</v>
      </c>
      <c r="F729" s="1">
        <v>28.0</v>
      </c>
      <c r="G729" s="1">
        <v>1195.0</v>
      </c>
      <c r="H729" s="1">
        <v>543.0</v>
      </c>
      <c r="I729" s="7">
        <f>IFERROR(__xludf.DUMMYFUNCTION("SPLIT(B729,""T""""Z"")"),42946.0)</f>
        <v>42946</v>
      </c>
      <c r="J729" s="8">
        <f>IFERROR(__xludf.DUMMYFUNCTION("""COMPUTED_VALUE"""),0.11894675925925927)</f>
        <v>0.1189467593</v>
      </c>
      <c r="K729" s="9">
        <f t="shared" si="1"/>
        <v>5</v>
      </c>
      <c r="L729" s="7">
        <f>IFERROR(__xludf.DUMMYFUNCTION("SPLIT(C729,""T""""Z"")"),44798.0)</f>
        <v>44798</v>
      </c>
      <c r="M729" s="8">
        <f>IFERROR(__xludf.DUMMYFUNCTION("""COMPUTED_VALUE"""),0.6060532407407407)</f>
        <v>0.6060532407</v>
      </c>
      <c r="N729" s="10">
        <f t="shared" si="2"/>
        <v>134.5452778</v>
      </c>
      <c r="O729" s="11">
        <f t="shared" si="3"/>
        <v>0.4543933054</v>
      </c>
    </row>
    <row r="730">
      <c r="A730" s="1" t="s">
        <v>2212</v>
      </c>
      <c r="B730" s="1" t="s">
        <v>2213</v>
      </c>
      <c r="C730" s="1" t="s">
        <v>2214</v>
      </c>
      <c r="D730" s="1">
        <v>1175.0</v>
      </c>
      <c r="E730" s="1" t="s">
        <v>18</v>
      </c>
      <c r="F730" s="1">
        <v>990.0</v>
      </c>
      <c r="G730" s="1">
        <v>8711.0</v>
      </c>
      <c r="H730" s="1">
        <v>8199.0</v>
      </c>
      <c r="I730" s="7">
        <f>IFERROR(__xludf.DUMMYFUNCTION("SPLIT(B730,""T""""Z"")"),42761.0)</f>
        <v>42761</v>
      </c>
      <c r="J730" s="8">
        <f>IFERROR(__xludf.DUMMYFUNCTION("""COMPUTED_VALUE"""),0.8275462962962963)</f>
        <v>0.8275462963</v>
      </c>
      <c r="K730" s="9">
        <f t="shared" si="1"/>
        <v>5</v>
      </c>
      <c r="L730" s="7">
        <f>IFERROR(__xludf.DUMMYFUNCTION("SPLIT(C730,""T""""Z"")"),44798.0)</f>
        <v>44798</v>
      </c>
      <c r="M730" s="8">
        <f>IFERROR(__xludf.DUMMYFUNCTION("""COMPUTED_VALUE"""),0.6049537037037037)</f>
        <v>0.6049537037</v>
      </c>
      <c r="N730" s="10">
        <f t="shared" si="2"/>
        <v>134.5188889</v>
      </c>
      <c r="O730" s="11">
        <f t="shared" si="3"/>
        <v>0.9412237401</v>
      </c>
    </row>
    <row r="731">
      <c r="A731" s="1" t="s">
        <v>2215</v>
      </c>
      <c r="B731" s="1" t="s">
        <v>2216</v>
      </c>
      <c r="C731" s="1" t="s">
        <v>2217</v>
      </c>
      <c r="D731" s="1">
        <v>122.0</v>
      </c>
      <c r="E731" s="1" t="s">
        <v>18</v>
      </c>
      <c r="F731" s="1">
        <v>2923.0</v>
      </c>
      <c r="G731" s="1">
        <v>6466.0</v>
      </c>
      <c r="H731" s="1">
        <v>5564.0</v>
      </c>
      <c r="I731" s="7">
        <f>IFERROR(__xludf.DUMMYFUNCTION("SPLIT(B731,""T""""Z"")"),42064.0)</f>
        <v>42064</v>
      </c>
      <c r="J731" s="8">
        <f>IFERROR(__xludf.DUMMYFUNCTION("""COMPUTED_VALUE"""),0.4077314814814815)</f>
        <v>0.4077314815</v>
      </c>
      <c r="K731" s="9">
        <f t="shared" si="1"/>
        <v>7</v>
      </c>
      <c r="L731" s="7">
        <f>IFERROR(__xludf.DUMMYFUNCTION("SPLIT(C731,""T""""Z"")"),44798.0)</f>
        <v>44798</v>
      </c>
      <c r="M731" s="8">
        <f>IFERROR(__xludf.DUMMYFUNCTION("""COMPUTED_VALUE"""),0.5689004629629629)</f>
        <v>0.568900463</v>
      </c>
      <c r="N731" s="10">
        <f t="shared" si="2"/>
        <v>133.6536111</v>
      </c>
      <c r="O731" s="11">
        <f t="shared" si="3"/>
        <v>0.8605010826</v>
      </c>
    </row>
    <row r="732">
      <c r="A732" s="1" t="s">
        <v>2218</v>
      </c>
      <c r="B732" s="1" t="s">
        <v>2219</v>
      </c>
      <c r="C732" s="1" t="s">
        <v>2220</v>
      </c>
      <c r="D732" s="1">
        <v>21.0</v>
      </c>
      <c r="E732" s="1" t="s">
        <v>686</v>
      </c>
      <c r="F732" s="1">
        <v>215.0</v>
      </c>
      <c r="G732" s="1">
        <v>688.0</v>
      </c>
      <c r="H732" s="1">
        <v>573.0</v>
      </c>
      <c r="I732" s="7">
        <f>IFERROR(__xludf.DUMMYFUNCTION("SPLIT(B732,""T""""Z"")"),41808.0)</f>
        <v>41808</v>
      </c>
      <c r="J732" s="8">
        <f>IFERROR(__xludf.DUMMYFUNCTION("""COMPUTED_VALUE"""),0.6119791666666666)</f>
        <v>0.6119791667</v>
      </c>
      <c r="K732" s="9">
        <f t="shared" si="1"/>
        <v>8</v>
      </c>
      <c r="L732" s="7">
        <f>IFERROR(__xludf.DUMMYFUNCTION("SPLIT(C732,""T""""Z"")"),44798.0)</f>
        <v>44798</v>
      </c>
      <c r="M732" s="8">
        <f>IFERROR(__xludf.DUMMYFUNCTION("""COMPUTED_VALUE"""),0.3997222222222222)</f>
        <v>0.3997222222</v>
      </c>
      <c r="N732" s="10">
        <f t="shared" si="2"/>
        <v>129.5933333</v>
      </c>
      <c r="O732" s="11">
        <f t="shared" si="3"/>
        <v>0.8328488372</v>
      </c>
    </row>
    <row r="733">
      <c r="A733" s="1" t="s">
        <v>2221</v>
      </c>
      <c r="B733" s="1" t="s">
        <v>2222</v>
      </c>
      <c r="C733" s="1" t="s">
        <v>1843</v>
      </c>
      <c r="D733" s="1">
        <v>1.0</v>
      </c>
      <c r="E733" s="1" t="s">
        <v>193</v>
      </c>
      <c r="F733" s="1">
        <v>53.0</v>
      </c>
      <c r="G733" s="1">
        <v>0.0</v>
      </c>
      <c r="H733" s="1">
        <v>0.0</v>
      </c>
      <c r="I733" s="7">
        <f>IFERROR(__xludf.DUMMYFUNCTION("SPLIT(B733,""T""""Z"")"),42186.0)</f>
        <v>42186</v>
      </c>
      <c r="J733" s="8">
        <f>IFERROR(__xludf.DUMMYFUNCTION("""COMPUTED_VALUE"""),0.6702546296296297)</f>
        <v>0.6702546296</v>
      </c>
      <c r="K733" s="9">
        <f t="shared" si="1"/>
        <v>7</v>
      </c>
      <c r="L733" s="7">
        <f>IFERROR(__xludf.DUMMYFUNCTION("SPLIT(C733,""T""""Z"")"),44798.0)</f>
        <v>44798</v>
      </c>
      <c r="M733" s="8">
        <f>IFERROR(__xludf.DUMMYFUNCTION("""COMPUTED_VALUE"""),0.586400462962963)</f>
        <v>0.586400463</v>
      </c>
      <c r="N733" s="10">
        <f t="shared" si="2"/>
        <v>134.0736111</v>
      </c>
      <c r="O733" s="11">
        <f t="shared" si="3"/>
        <v>0</v>
      </c>
    </row>
    <row r="734">
      <c r="A734" s="1" t="s">
        <v>2223</v>
      </c>
      <c r="B734" s="1" t="s">
        <v>2224</v>
      </c>
      <c r="C734" s="1" t="s">
        <v>2225</v>
      </c>
      <c r="D734" s="1">
        <v>0.0</v>
      </c>
      <c r="E734" s="13" t="s">
        <v>22</v>
      </c>
      <c r="F734" s="1">
        <v>14177.0</v>
      </c>
      <c r="G734" s="1">
        <v>11639.0</v>
      </c>
      <c r="H734" s="1">
        <v>8246.0</v>
      </c>
      <c r="I734" s="7">
        <f>IFERROR(__xludf.DUMMYFUNCTION("SPLIT(B734,""T""""Z"")"),40947.0)</f>
        <v>40947</v>
      </c>
      <c r="J734" s="8">
        <f>IFERROR(__xludf.DUMMYFUNCTION("""COMPUTED_VALUE"""),0.7968171296296296)</f>
        <v>0.7968171296</v>
      </c>
      <c r="K734" s="9">
        <f t="shared" si="1"/>
        <v>10</v>
      </c>
      <c r="L734" s="7">
        <f>IFERROR(__xludf.DUMMYFUNCTION("SPLIT(C734,""T""""Z"")"),44798.0)</f>
        <v>44798</v>
      </c>
      <c r="M734" s="8">
        <f>IFERROR(__xludf.DUMMYFUNCTION("""COMPUTED_VALUE"""),0.26815972222222223)</f>
        <v>0.2681597222</v>
      </c>
      <c r="N734" s="12">
        <f t="shared" si="2"/>
        <v>126.4358333</v>
      </c>
      <c r="O734" s="11">
        <f t="shared" si="3"/>
        <v>0.70848011</v>
      </c>
    </row>
    <row r="735">
      <c r="A735" s="1" t="s">
        <v>2226</v>
      </c>
      <c r="B735" s="1" t="s">
        <v>2227</v>
      </c>
      <c r="C735" s="1" t="s">
        <v>2228</v>
      </c>
      <c r="D735" s="1">
        <v>0.0</v>
      </c>
      <c r="E735" s="1" t="s">
        <v>2229</v>
      </c>
      <c r="F735" s="1">
        <v>566.0</v>
      </c>
      <c r="G735" s="1">
        <v>362.0</v>
      </c>
      <c r="H735" s="1">
        <v>308.0</v>
      </c>
      <c r="I735" s="7">
        <f>IFERROR(__xludf.DUMMYFUNCTION("SPLIT(B735,""T""""Z"")"),43142.0)</f>
        <v>43142</v>
      </c>
      <c r="J735" s="8">
        <f>IFERROR(__xludf.DUMMYFUNCTION("""COMPUTED_VALUE"""),0.15936342592592592)</f>
        <v>0.1593634259</v>
      </c>
      <c r="K735" s="9">
        <f t="shared" si="1"/>
        <v>4</v>
      </c>
      <c r="L735" s="7">
        <f>IFERROR(__xludf.DUMMYFUNCTION("SPLIT(C735,""T""""Z"")"),44798.0)</f>
        <v>44798</v>
      </c>
      <c r="M735" s="8">
        <f>IFERROR(__xludf.DUMMYFUNCTION("""COMPUTED_VALUE"""),0.47869212962962965)</f>
        <v>0.4786921296</v>
      </c>
      <c r="N735" s="10">
        <f t="shared" si="2"/>
        <v>131.4886111</v>
      </c>
      <c r="O735" s="11">
        <f t="shared" si="3"/>
        <v>0.8508287293</v>
      </c>
    </row>
    <row r="736">
      <c r="A736" s="1" t="s">
        <v>2230</v>
      </c>
      <c r="B736" s="1" t="s">
        <v>2231</v>
      </c>
      <c r="C736" s="1" t="s">
        <v>2232</v>
      </c>
      <c r="D736" s="1">
        <v>108.0</v>
      </c>
      <c r="E736" s="1" t="s">
        <v>347</v>
      </c>
      <c r="F736" s="1">
        <v>476.0</v>
      </c>
      <c r="G736" s="1">
        <v>574.0</v>
      </c>
      <c r="H736" s="1">
        <v>558.0</v>
      </c>
      <c r="I736" s="7">
        <f>IFERROR(__xludf.DUMMYFUNCTION("SPLIT(B736,""T""""Z"")"),43797.0)</f>
        <v>43797</v>
      </c>
      <c r="J736" s="8">
        <f>IFERROR(__xludf.DUMMYFUNCTION("""COMPUTED_VALUE"""),0.5777199074074074)</f>
        <v>0.5777199074</v>
      </c>
      <c r="K736" s="9">
        <f t="shared" si="1"/>
        <v>2</v>
      </c>
      <c r="L736" s="7">
        <f>IFERROR(__xludf.DUMMYFUNCTION("SPLIT(C736,""T""""Z"")"),44798.0)</f>
        <v>44798</v>
      </c>
      <c r="M736" s="8">
        <f>IFERROR(__xludf.DUMMYFUNCTION("""COMPUTED_VALUE"""),0.5372453703703703)</f>
        <v>0.5372453704</v>
      </c>
      <c r="N736" s="10">
        <f t="shared" si="2"/>
        <v>132.8938889</v>
      </c>
      <c r="O736" s="11">
        <f t="shared" si="3"/>
        <v>0.9721254355</v>
      </c>
    </row>
    <row r="737">
      <c r="A737" s="1" t="s">
        <v>2233</v>
      </c>
      <c r="B737" s="1" t="s">
        <v>2234</v>
      </c>
      <c r="C737" s="1" t="s">
        <v>2235</v>
      </c>
      <c r="D737" s="1">
        <v>1.0</v>
      </c>
      <c r="E737" s="1" t="s">
        <v>38</v>
      </c>
      <c r="F737" s="1">
        <v>422.0</v>
      </c>
      <c r="G737" s="1">
        <v>156.0</v>
      </c>
      <c r="H737" s="1">
        <v>97.0</v>
      </c>
      <c r="I737" s="7">
        <f>IFERROR(__xludf.DUMMYFUNCTION("SPLIT(B737,""T""""Z"")"),42691.0)</f>
        <v>42691</v>
      </c>
      <c r="J737" s="8">
        <f>IFERROR(__xludf.DUMMYFUNCTION("""COMPUTED_VALUE"""),0.9389814814814815)</f>
        <v>0.9389814815</v>
      </c>
      <c r="K737" s="9">
        <f t="shared" si="1"/>
        <v>5</v>
      </c>
      <c r="L737" s="7">
        <f>IFERROR(__xludf.DUMMYFUNCTION("SPLIT(C737,""T""""Z"")"),44798.0)</f>
        <v>44798</v>
      </c>
      <c r="M737" s="8">
        <f>IFERROR(__xludf.DUMMYFUNCTION("""COMPUTED_VALUE"""),0.39296296296296296)</f>
        <v>0.392962963</v>
      </c>
      <c r="N737" s="10">
        <f t="shared" si="2"/>
        <v>129.4311111</v>
      </c>
      <c r="O737" s="11">
        <f t="shared" si="3"/>
        <v>0.6217948718</v>
      </c>
    </row>
    <row r="738">
      <c r="A738" s="1" t="s">
        <v>2236</v>
      </c>
      <c r="B738" s="1" t="s">
        <v>2237</v>
      </c>
      <c r="C738" s="1" t="s">
        <v>2238</v>
      </c>
      <c r="D738" s="1">
        <v>12.0</v>
      </c>
      <c r="E738" s="1" t="s">
        <v>48</v>
      </c>
      <c r="F738" s="1">
        <v>502.0</v>
      </c>
      <c r="G738" s="1">
        <v>1098.0</v>
      </c>
      <c r="H738" s="1">
        <v>923.0</v>
      </c>
      <c r="I738" s="7">
        <f>IFERROR(__xludf.DUMMYFUNCTION("SPLIT(B738,""T""""Z"")"),42694.0)</f>
        <v>42694</v>
      </c>
      <c r="J738" s="8">
        <f>IFERROR(__xludf.DUMMYFUNCTION("""COMPUTED_VALUE"""),0.3303587962962963)</f>
        <v>0.3303587963</v>
      </c>
      <c r="K738" s="9">
        <f t="shared" si="1"/>
        <v>5</v>
      </c>
      <c r="L738" s="7">
        <f>IFERROR(__xludf.DUMMYFUNCTION("SPLIT(C738,""T""""Z"")"),44798.0)</f>
        <v>44798</v>
      </c>
      <c r="M738" s="8">
        <f>IFERROR(__xludf.DUMMYFUNCTION("""COMPUTED_VALUE"""),0.593761574074074)</f>
        <v>0.5937615741</v>
      </c>
      <c r="N738" s="10">
        <f t="shared" si="2"/>
        <v>134.2502778</v>
      </c>
      <c r="O738" s="11">
        <f t="shared" si="3"/>
        <v>0.8406193078</v>
      </c>
    </row>
    <row r="739">
      <c r="A739" s="1" t="s">
        <v>2239</v>
      </c>
      <c r="B739" s="1" t="s">
        <v>2240</v>
      </c>
      <c r="C739" s="1" t="s">
        <v>2241</v>
      </c>
      <c r="D739" s="1">
        <v>32.0</v>
      </c>
      <c r="E739" s="1" t="s">
        <v>48</v>
      </c>
      <c r="F739" s="1">
        <v>376.0</v>
      </c>
      <c r="G739" s="1">
        <v>743.0</v>
      </c>
      <c r="H739" s="1">
        <v>699.0</v>
      </c>
      <c r="I739" s="7">
        <f>IFERROR(__xludf.DUMMYFUNCTION("SPLIT(B739,""T""""Z"")"),41343.0)</f>
        <v>41343</v>
      </c>
      <c r="J739" s="8">
        <f>IFERROR(__xludf.DUMMYFUNCTION("""COMPUTED_VALUE"""),0.6338541666666667)</f>
        <v>0.6338541667</v>
      </c>
      <c r="K739" s="9">
        <f t="shared" si="1"/>
        <v>9</v>
      </c>
      <c r="L739" s="7">
        <f>IFERROR(__xludf.DUMMYFUNCTION("SPLIT(C739,""T""""Z"")"),44798.0)</f>
        <v>44798</v>
      </c>
      <c r="M739" s="8">
        <f>IFERROR(__xludf.DUMMYFUNCTION("""COMPUTED_VALUE"""),0.5466782407407408)</f>
        <v>0.5466782407</v>
      </c>
      <c r="N739" s="10">
        <f t="shared" si="2"/>
        <v>133.1202778</v>
      </c>
      <c r="O739" s="11">
        <f t="shared" si="3"/>
        <v>0.9407806191</v>
      </c>
    </row>
    <row r="740">
      <c r="A740" s="1" t="s">
        <v>2242</v>
      </c>
      <c r="B740" s="1" t="s">
        <v>2243</v>
      </c>
      <c r="C740" s="1" t="s">
        <v>2244</v>
      </c>
      <c r="D740" s="1">
        <v>5.0</v>
      </c>
      <c r="E740" s="1" t="s">
        <v>18</v>
      </c>
      <c r="F740" s="1">
        <v>513.0</v>
      </c>
      <c r="G740" s="1">
        <v>1175.0</v>
      </c>
      <c r="H740" s="1">
        <v>1172.0</v>
      </c>
      <c r="I740" s="7">
        <f>IFERROR(__xludf.DUMMYFUNCTION("SPLIT(B740,""T""""Z"")"),41745.0)</f>
        <v>41745</v>
      </c>
      <c r="J740" s="8">
        <f>IFERROR(__xludf.DUMMYFUNCTION("""COMPUTED_VALUE"""),0.5474305555555555)</f>
        <v>0.5474305556</v>
      </c>
      <c r="K740" s="9">
        <f t="shared" si="1"/>
        <v>8</v>
      </c>
      <c r="L740" s="7">
        <f>IFERROR(__xludf.DUMMYFUNCTION("SPLIT(C740,""T""""Z"")"),44798.0)</f>
        <v>44798</v>
      </c>
      <c r="M740" s="8">
        <f>IFERROR(__xludf.DUMMYFUNCTION("""COMPUTED_VALUE"""),0.3813310185185185)</f>
        <v>0.3813310185</v>
      </c>
      <c r="N740" s="10">
        <f t="shared" si="2"/>
        <v>129.1519444</v>
      </c>
      <c r="O740" s="11">
        <f t="shared" si="3"/>
        <v>0.9974468085</v>
      </c>
    </row>
    <row r="741">
      <c r="A741" s="1" t="s">
        <v>2245</v>
      </c>
      <c r="B741" s="1" t="s">
        <v>2246</v>
      </c>
      <c r="C741" s="1" t="s">
        <v>1990</v>
      </c>
      <c r="D741" s="1">
        <v>10.0</v>
      </c>
      <c r="E741" s="1" t="s">
        <v>52</v>
      </c>
      <c r="F741" s="1">
        <v>9684.0</v>
      </c>
      <c r="G741" s="1">
        <v>3671.0</v>
      </c>
      <c r="H741" s="1">
        <v>2893.0</v>
      </c>
      <c r="I741" s="7">
        <f>IFERROR(__xludf.DUMMYFUNCTION("SPLIT(B741,""T""""Z"")"),42920.0)</f>
        <v>42920</v>
      </c>
      <c r="J741" s="8">
        <f>IFERROR(__xludf.DUMMYFUNCTION("""COMPUTED_VALUE"""),0.7941087962962963)</f>
        <v>0.7941087963</v>
      </c>
      <c r="K741" s="9">
        <f t="shared" si="1"/>
        <v>5</v>
      </c>
      <c r="L741" s="7">
        <f>IFERROR(__xludf.DUMMYFUNCTION("SPLIT(C741,""T""""Z"")"),44798.0)</f>
        <v>44798</v>
      </c>
      <c r="M741" s="8">
        <f>IFERROR(__xludf.DUMMYFUNCTION("""COMPUTED_VALUE"""),0.5562384259259259)</f>
        <v>0.5562384259</v>
      </c>
      <c r="N741" s="10">
        <f t="shared" si="2"/>
        <v>133.3497222</v>
      </c>
      <c r="O741" s="11">
        <f t="shared" si="3"/>
        <v>0.7880686461</v>
      </c>
    </row>
    <row r="742">
      <c r="A742" s="1" t="s">
        <v>2247</v>
      </c>
      <c r="B742" s="1" t="s">
        <v>2248</v>
      </c>
      <c r="C742" s="1" t="s">
        <v>2249</v>
      </c>
      <c r="D742" s="1">
        <v>15.0</v>
      </c>
      <c r="E742" s="1" t="s">
        <v>48</v>
      </c>
      <c r="F742" s="1">
        <v>20.0</v>
      </c>
      <c r="G742" s="1">
        <v>682.0</v>
      </c>
      <c r="H742" s="1">
        <v>292.0</v>
      </c>
      <c r="I742" s="7">
        <f>IFERROR(__xludf.DUMMYFUNCTION("SPLIT(B742,""T""""Z"")"),42502.0)</f>
        <v>42502</v>
      </c>
      <c r="J742" s="8">
        <f>IFERROR(__xludf.DUMMYFUNCTION("""COMPUTED_VALUE"""),0.35730324074074077)</f>
        <v>0.3573032407</v>
      </c>
      <c r="K742" s="9">
        <f t="shared" si="1"/>
        <v>6</v>
      </c>
      <c r="L742" s="7">
        <f>IFERROR(__xludf.DUMMYFUNCTION("SPLIT(C742,""T""""Z"")"),44798.0)</f>
        <v>44798</v>
      </c>
      <c r="M742" s="8">
        <f>IFERROR(__xludf.DUMMYFUNCTION("""COMPUTED_VALUE"""),0.5425925925925926)</f>
        <v>0.5425925926</v>
      </c>
      <c r="N742" s="10">
        <f t="shared" si="2"/>
        <v>133.0222222</v>
      </c>
      <c r="O742" s="11">
        <f t="shared" si="3"/>
        <v>0.4281524927</v>
      </c>
    </row>
    <row r="743">
      <c r="A743" s="1" t="s">
        <v>2250</v>
      </c>
      <c r="B743" s="1" t="s">
        <v>2251</v>
      </c>
      <c r="C743" s="1" t="s">
        <v>2252</v>
      </c>
      <c r="D743" s="1">
        <v>0.0</v>
      </c>
      <c r="E743" s="1" t="s">
        <v>38</v>
      </c>
      <c r="F743" s="1">
        <v>580.0</v>
      </c>
      <c r="G743" s="1">
        <v>290.0</v>
      </c>
      <c r="H743" s="1">
        <v>268.0</v>
      </c>
      <c r="I743" s="7">
        <f>IFERROR(__xludf.DUMMYFUNCTION("SPLIT(B743,""T""""Z"")"),43455.0)</f>
        <v>43455</v>
      </c>
      <c r="J743" s="8">
        <f>IFERROR(__xludf.DUMMYFUNCTION("""COMPUTED_VALUE"""),0.6018865740740741)</f>
        <v>0.6018865741</v>
      </c>
      <c r="K743" s="9">
        <f t="shared" si="1"/>
        <v>3</v>
      </c>
      <c r="L743" s="7">
        <f>IFERROR(__xludf.DUMMYFUNCTION("SPLIT(C743,""T""""Z"")"),44798.0)</f>
        <v>44798</v>
      </c>
      <c r="M743" s="8">
        <f>IFERROR(__xludf.DUMMYFUNCTION("""COMPUTED_VALUE"""),0.41519675925925925)</f>
        <v>0.4151967593</v>
      </c>
      <c r="N743" s="10">
        <f t="shared" si="2"/>
        <v>129.9647222</v>
      </c>
      <c r="O743" s="11">
        <f t="shared" si="3"/>
        <v>0.924137931</v>
      </c>
    </row>
    <row r="744">
      <c r="A744" s="1" t="s">
        <v>2253</v>
      </c>
      <c r="B744" s="1" t="s">
        <v>2254</v>
      </c>
      <c r="C744" s="1" t="s">
        <v>2255</v>
      </c>
      <c r="D744" s="1">
        <v>0.0</v>
      </c>
      <c r="E744" s="1" t="s">
        <v>52</v>
      </c>
      <c r="F744" s="1">
        <v>4878.0</v>
      </c>
      <c r="G744" s="1">
        <v>2940.0</v>
      </c>
      <c r="H744" s="1">
        <v>1946.0</v>
      </c>
      <c r="I744" s="7">
        <f>IFERROR(__xludf.DUMMYFUNCTION("SPLIT(B744,""T""""Z"")"),43103.0)</f>
        <v>43103</v>
      </c>
      <c r="J744" s="8">
        <f>IFERROR(__xludf.DUMMYFUNCTION("""COMPUTED_VALUE"""),0.7596875)</f>
        <v>0.7596875</v>
      </c>
      <c r="K744" s="9">
        <f t="shared" si="1"/>
        <v>4</v>
      </c>
      <c r="L744" s="7">
        <f>IFERROR(__xludf.DUMMYFUNCTION("SPLIT(C744,""T""""Z"")"),44798.0)</f>
        <v>44798</v>
      </c>
      <c r="M744" s="8">
        <f>IFERROR(__xludf.DUMMYFUNCTION("""COMPUTED_VALUE"""),0.5596296296296296)</f>
        <v>0.5596296296</v>
      </c>
      <c r="N744" s="10">
        <f t="shared" si="2"/>
        <v>133.4311111</v>
      </c>
      <c r="O744" s="11">
        <f t="shared" si="3"/>
        <v>0.6619047619</v>
      </c>
    </row>
    <row r="745">
      <c r="A745" s="1" t="s">
        <v>2256</v>
      </c>
      <c r="B745" s="1" t="s">
        <v>2257</v>
      </c>
      <c r="C745" s="1" t="s">
        <v>2258</v>
      </c>
      <c r="D745" s="1">
        <v>0.0</v>
      </c>
      <c r="E745" s="13" t="s">
        <v>22</v>
      </c>
      <c r="F745" s="1">
        <v>9.0</v>
      </c>
      <c r="G745" s="1">
        <v>0.0</v>
      </c>
      <c r="H745" s="1">
        <v>0.0</v>
      </c>
      <c r="I745" s="7">
        <f>IFERROR(__xludf.DUMMYFUNCTION("SPLIT(B745,""T""""Z"")"),44492.0)</f>
        <v>44492</v>
      </c>
      <c r="J745" s="8">
        <f>IFERROR(__xludf.DUMMYFUNCTION("""COMPUTED_VALUE"""),0.6715740740740741)</f>
        <v>0.6715740741</v>
      </c>
      <c r="K745" s="9">
        <f t="shared" si="1"/>
        <v>0</v>
      </c>
      <c r="L745" s="7">
        <f>IFERROR(__xludf.DUMMYFUNCTION("SPLIT(C745,""T""""Z"")"),44798.0)</f>
        <v>44798</v>
      </c>
      <c r="M745" s="8">
        <f>IFERROR(__xludf.DUMMYFUNCTION("""COMPUTED_VALUE"""),0.5926736111111112)</f>
        <v>0.5926736111</v>
      </c>
      <c r="N745" s="12">
        <f t="shared" si="2"/>
        <v>134.2241667</v>
      </c>
      <c r="O745" s="11">
        <f t="shared" si="3"/>
        <v>0</v>
      </c>
    </row>
    <row r="746">
      <c r="A746" s="1" t="s">
        <v>2259</v>
      </c>
      <c r="B746" s="1" t="s">
        <v>2260</v>
      </c>
      <c r="C746" s="1" t="s">
        <v>2261</v>
      </c>
      <c r="D746" s="1">
        <v>0.0</v>
      </c>
      <c r="E746" s="13" t="s">
        <v>22</v>
      </c>
      <c r="F746" s="1">
        <v>0.0</v>
      </c>
      <c r="G746" s="1">
        <v>172.0</v>
      </c>
      <c r="H746" s="1">
        <v>133.0</v>
      </c>
      <c r="I746" s="7">
        <f>IFERROR(__xludf.DUMMYFUNCTION("SPLIT(B746,""T""""Z"")"),42738.0)</f>
        <v>42738</v>
      </c>
      <c r="J746" s="8">
        <f>IFERROR(__xludf.DUMMYFUNCTION("""COMPUTED_VALUE"""),0.4892708333333333)</f>
        <v>0.4892708333</v>
      </c>
      <c r="K746" s="9">
        <f t="shared" si="1"/>
        <v>5</v>
      </c>
      <c r="L746" s="7">
        <f>IFERROR(__xludf.DUMMYFUNCTION("SPLIT(C746,""T""""Z"")"),44798.0)</f>
        <v>44798</v>
      </c>
      <c r="M746" s="8">
        <f>IFERROR(__xludf.DUMMYFUNCTION("""COMPUTED_VALUE"""),0.5375578703703704)</f>
        <v>0.5375578704</v>
      </c>
      <c r="N746" s="12">
        <f t="shared" si="2"/>
        <v>132.9013889</v>
      </c>
      <c r="O746" s="11">
        <f t="shared" si="3"/>
        <v>0.773255814</v>
      </c>
    </row>
    <row r="747">
      <c r="A747" s="1" t="s">
        <v>2262</v>
      </c>
      <c r="B747" s="1" t="s">
        <v>2263</v>
      </c>
      <c r="C747" s="1" t="s">
        <v>2264</v>
      </c>
      <c r="D747" s="1">
        <v>10.0</v>
      </c>
      <c r="E747" s="1" t="s">
        <v>193</v>
      </c>
      <c r="F747" s="1">
        <v>494.0</v>
      </c>
      <c r="G747" s="1">
        <v>1157.0</v>
      </c>
      <c r="H747" s="1">
        <v>1127.0</v>
      </c>
      <c r="I747" s="7">
        <f>IFERROR(__xludf.DUMMYFUNCTION("SPLIT(B747,""T""""Z"")"),42648.0)</f>
        <v>42648</v>
      </c>
      <c r="J747" s="8">
        <f>IFERROR(__xludf.DUMMYFUNCTION("""COMPUTED_VALUE"""),0.9412384259259259)</f>
        <v>0.9412384259</v>
      </c>
      <c r="K747" s="9">
        <f t="shared" si="1"/>
        <v>5</v>
      </c>
      <c r="L747" s="7">
        <f>IFERROR(__xludf.DUMMYFUNCTION("SPLIT(C747,""T""""Z"")"),44798.0)</f>
        <v>44798</v>
      </c>
      <c r="M747" s="8">
        <f>IFERROR(__xludf.DUMMYFUNCTION("""COMPUTED_VALUE"""),0.5668055555555556)</f>
        <v>0.5668055556</v>
      </c>
      <c r="N747" s="10">
        <f t="shared" si="2"/>
        <v>133.6033333</v>
      </c>
      <c r="O747" s="11">
        <f t="shared" si="3"/>
        <v>0.9740708729</v>
      </c>
    </row>
    <row r="748">
      <c r="A748" s="1" t="s">
        <v>2265</v>
      </c>
      <c r="B748" s="1" t="s">
        <v>2266</v>
      </c>
      <c r="C748" s="1" t="s">
        <v>2267</v>
      </c>
      <c r="D748" s="1">
        <v>0.0</v>
      </c>
      <c r="E748" s="1" t="s">
        <v>621</v>
      </c>
      <c r="F748" s="1">
        <v>12.0</v>
      </c>
      <c r="G748" s="1">
        <v>275.0</v>
      </c>
      <c r="H748" s="1">
        <v>190.0</v>
      </c>
      <c r="I748" s="7">
        <f>IFERROR(__xludf.DUMMYFUNCTION("SPLIT(B748,""T""""Z"")"),43143.0)</f>
        <v>43143</v>
      </c>
      <c r="J748" s="8">
        <f>IFERROR(__xludf.DUMMYFUNCTION("""COMPUTED_VALUE"""),0.8126157407407407)</f>
        <v>0.8126157407</v>
      </c>
      <c r="K748" s="9">
        <f t="shared" si="1"/>
        <v>4</v>
      </c>
      <c r="L748" s="7">
        <f>IFERROR(__xludf.DUMMYFUNCTION("SPLIT(C748,""T""""Z"")"),44798.0)</f>
        <v>44798</v>
      </c>
      <c r="M748" s="8">
        <f>IFERROR(__xludf.DUMMYFUNCTION("""COMPUTED_VALUE"""),0.4871064814814815)</f>
        <v>0.4871064815</v>
      </c>
      <c r="N748" s="10">
        <f t="shared" si="2"/>
        <v>131.6905556</v>
      </c>
      <c r="O748" s="11">
        <f t="shared" si="3"/>
        <v>0.6909090909</v>
      </c>
    </row>
    <row r="749">
      <c r="A749" s="1" t="s">
        <v>2268</v>
      </c>
      <c r="B749" s="1" t="s">
        <v>2269</v>
      </c>
      <c r="C749" s="1" t="s">
        <v>2270</v>
      </c>
      <c r="D749" s="1">
        <v>0.0</v>
      </c>
      <c r="E749" s="1" t="s">
        <v>38</v>
      </c>
      <c r="F749" s="1">
        <v>9.0</v>
      </c>
      <c r="G749" s="1">
        <v>65.0</v>
      </c>
      <c r="H749" s="1">
        <v>36.0</v>
      </c>
      <c r="I749" s="7">
        <f>IFERROR(__xludf.DUMMYFUNCTION("SPLIT(B749,""T""""Z"")"),42771.0)</f>
        <v>42771</v>
      </c>
      <c r="J749" s="8">
        <f>IFERROR(__xludf.DUMMYFUNCTION("""COMPUTED_VALUE"""),0.5079050925925926)</f>
        <v>0.5079050926</v>
      </c>
      <c r="K749" s="9">
        <f t="shared" si="1"/>
        <v>5</v>
      </c>
      <c r="L749" s="7">
        <f>IFERROR(__xludf.DUMMYFUNCTION("SPLIT(C749,""T""""Z"")"),44798.0)</f>
        <v>44798</v>
      </c>
      <c r="M749" s="8">
        <f>IFERROR(__xludf.DUMMYFUNCTION("""COMPUTED_VALUE"""),0.1908101851851852)</f>
        <v>0.1908101852</v>
      </c>
      <c r="N749" s="10">
        <f t="shared" si="2"/>
        <v>124.5794444</v>
      </c>
      <c r="O749" s="11">
        <f t="shared" si="3"/>
        <v>0.5538461538</v>
      </c>
    </row>
    <row r="750">
      <c r="A750" s="1" t="s">
        <v>2271</v>
      </c>
      <c r="B750" s="1" t="s">
        <v>2272</v>
      </c>
      <c r="C750" s="1" t="s">
        <v>2273</v>
      </c>
      <c r="D750" s="1">
        <v>455.0</v>
      </c>
      <c r="E750" s="1" t="s">
        <v>38</v>
      </c>
      <c r="F750" s="1">
        <v>394.0</v>
      </c>
      <c r="G750" s="1">
        <v>1444.0</v>
      </c>
      <c r="H750" s="1">
        <v>1413.0</v>
      </c>
      <c r="I750" s="7">
        <f>IFERROR(__xludf.DUMMYFUNCTION("SPLIT(B750,""T""""Z"")"),41011.0)</f>
        <v>41011</v>
      </c>
      <c r="J750" s="8">
        <f>IFERROR(__xludf.DUMMYFUNCTION("""COMPUTED_VALUE"""),0.8491898148148148)</f>
        <v>0.8491898148</v>
      </c>
      <c r="K750" s="9">
        <f t="shared" si="1"/>
        <v>10</v>
      </c>
      <c r="L750" s="7">
        <f>IFERROR(__xludf.DUMMYFUNCTION("SPLIT(C750,""T""""Z"")"),44798.0)</f>
        <v>44798</v>
      </c>
      <c r="M750" s="8">
        <f>IFERROR(__xludf.DUMMYFUNCTION("""COMPUTED_VALUE"""),0.47261574074074075)</f>
        <v>0.4726157407</v>
      </c>
      <c r="N750" s="10">
        <f t="shared" si="2"/>
        <v>131.3427778</v>
      </c>
      <c r="O750" s="11">
        <f t="shared" si="3"/>
        <v>0.978531856</v>
      </c>
    </row>
    <row r="751">
      <c r="A751" s="1" t="s">
        <v>2274</v>
      </c>
      <c r="B751" s="1" t="s">
        <v>2275</v>
      </c>
      <c r="C751" s="1" t="s">
        <v>2276</v>
      </c>
      <c r="D751" s="1">
        <v>6.0</v>
      </c>
      <c r="E751" s="1" t="s">
        <v>38</v>
      </c>
      <c r="F751" s="1">
        <v>12.0</v>
      </c>
      <c r="G751" s="1">
        <v>211.0</v>
      </c>
      <c r="H751" s="1">
        <v>71.0</v>
      </c>
      <c r="I751" s="7">
        <f>IFERROR(__xludf.DUMMYFUNCTION("SPLIT(B751,""T""""Z"")"),44274.0)</f>
        <v>44274</v>
      </c>
      <c r="J751" s="8">
        <f>IFERROR(__xludf.DUMMYFUNCTION("""COMPUTED_VALUE"""),0.26273148148148145)</f>
        <v>0.2627314815</v>
      </c>
      <c r="K751" s="9">
        <f t="shared" si="1"/>
        <v>1</v>
      </c>
      <c r="L751" s="7">
        <f>IFERROR(__xludf.DUMMYFUNCTION("SPLIT(C751,""T""""Z"")"),44798.0)</f>
        <v>44798</v>
      </c>
      <c r="M751" s="8">
        <f>IFERROR(__xludf.DUMMYFUNCTION("""COMPUTED_VALUE"""),0.6085416666666666)</f>
        <v>0.6085416667</v>
      </c>
      <c r="N751" s="10">
        <f t="shared" si="2"/>
        <v>134.605</v>
      </c>
      <c r="O751" s="11">
        <f t="shared" si="3"/>
        <v>0.336492891</v>
      </c>
    </row>
    <row r="752">
      <c r="A752" s="1" t="s">
        <v>2277</v>
      </c>
      <c r="B752" s="1" t="s">
        <v>2278</v>
      </c>
      <c r="C752" s="1" t="s">
        <v>81</v>
      </c>
      <c r="D752" s="1">
        <v>75.0</v>
      </c>
      <c r="E752" s="1" t="s">
        <v>193</v>
      </c>
      <c r="F752" s="1">
        <v>696.0</v>
      </c>
      <c r="G752" s="1">
        <v>5438.0</v>
      </c>
      <c r="H752" s="1">
        <v>5087.0</v>
      </c>
      <c r="I752" s="7">
        <f>IFERROR(__xludf.DUMMYFUNCTION("SPLIT(B752,""T""""Z"")"),41555.0)</f>
        <v>41555</v>
      </c>
      <c r="J752" s="8">
        <f>IFERROR(__xludf.DUMMYFUNCTION("""COMPUTED_VALUE"""),0.9806712962962963)</f>
        <v>0.9806712963</v>
      </c>
      <c r="K752" s="9">
        <f t="shared" si="1"/>
        <v>8</v>
      </c>
      <c r="L752" s="7">
        <f>IFERROR(__xludf.DUMMYFUNCTION("SPLIT(C752,""T""""Z"")"),44798.0)</f>
        <v>44798</v>
      </c>
      <c r="M752" s="8">
        <f>IFERROR(__xludf.DUMMYFUNCTION("""COMPUTED_VALUE"""),0.609386574074074)</f>
        <v>0.6093865741</v>
      </c>
      <c r="N752" s="10">
        <f t="shared" si="2"/>
        <v>134.6252778</v>
      </c>
      <c r="O752" s="11">
        <f t="shared" si="3"/>
        <v>0.9354542111</v>
      </c>
    </row>
    <row r="753">
      <c r="A753" s="1" t="s">
        <v>2279</v>
      </c>
      <c r="B753" s="1" t="s">
        <v>2280</v>
      </c>
      <c r="C753" s="1" t="s">
        <v>2281</v>
      </c>
      <c r="D753" s="1">
        <v>4.0</v>
      </c>
      <c r="E753" s="1" t="s">
        <v>95</v>
      </c>
      <c r="F753" s="1">
        <v>364.0</v>
      </c>
      <c r="G753" s="1">
        <v>1481.0</v>
      </c>
      <c r="H753" s="1">
        <v>1164.0</v>
      </c>
      <c r="I753" s="7">
        <f>IFERROR(__xludf.DUMMYFUNCTION("SPLIT(B753,""T""""Z"")"),42082.0)</f>
        <v>42082</v>
      </c>
      <c r="J753" s="8">
        <f>IFERROR(__xludf.DUMMYFUNCTION("""COMPUTED_VALUE"""),0.7648148148148148)</f>
        <v>0.7648148148</v>
      </c>
      <c r="K753" s="9">
        <f t="shared" si="1"/>
        <v>7</v>
      </c>
      <c r="L753" s="7">
        <f>IFERROR(__xludf.DUMMYFUNCTION("SPLIT(C753,""T""""Z"")"),44798.0)</f>
        <v>44798</v>
      </c>
      <c r="M753" s="8">
        <f>IFERROR(__xludf.DUMMYFUNCTION("""COMPUTED_VALUE"""),0.5675231481481482)</f>
        <v>0.5675231481</v>
      </c>
      <c r="N753" s="10">
        <f t="shared" si="2"/>
        <v>133.6205556</v>
      </c>
      <c r="O753" s="11">
        <f t="shared" si="3"/>
        <v>0.7859554355</v>
      </c>
    </row>
    <row r="754">
      <c r="A754" s="1" t="s">
        <v>2282</v>
      </c>
      <c r="B754" s="1" t="s">
        <v>2283</v>
      </c>
      <c r="C754" s="1" t="s">
        <v>2284</v>
      </c>
      <c r="D754" s="1">
        <v>0.0</v>
      </c>
      <c r="E754" s="1" t="s">
        <v>48</v>
      </c>
      <c r="F754" s="1">
        <v>57.0</v>
      </c>
      <c r="G754" s="1">
        <v>510.0</v>
      </c>
      <c r="H754" s="1">
        <v>406.0</v>
      </c>
      <c r="I754" s="7">
        <f>IFERROR(__xludf.DUMMYFUNCTION("SPLIT(B754,""T""""Z"")"),42107.0)</f>
        <v>42107</v>
      </c>
      <c r="J754" s="8">
        <f>IFERROR(__xludf.DUMMYFUNCTION("""COMPUTED_VALUE"""),0.8997453703703704)</f>
        <v>0.8997453704</v>
      </c>
      <c r="K754" s="9">
        <f t="shared" si="1"/>
        <v>7</v>
      </c>
      <c r="L754" s="7">
        <f>IFERROR(__xludf.DUMMYFUNCTION("SPLIT(C754,""T""""Z"")"),44798.0)</f>
        <v>44798</v>
      </c>
      <c r="M754" s="8">
        <f>IFERROR(__xludf.DUMMYFUNCTION("""COMPUTED_VALUE"""),0.5301736111111112)</f>
        <v>0.5301736111</v>
      </c>
      <c r="N754" s="10">
        <f t="shared" si="2"/>
        <v>132.7241667</v>
      </c>
      <c r="O754" s="11">
        <f t="shared" si="3"/>
        <v>0.7960784314</v>
      </c>
    </row>
    <row r="755">
      <c r="A755" s="1" t="s">
        <v>2285</v>
      </c>
      <c r="B755" s="1" t="s">
        <v>2286</v>
      </c>
      <c r="C755" s="1" t="s">
        <v>2287</v>
      </c>
      <c r="D755" s="1">
        <v>89.0</v>
      </c>
      <c r="E755" s="1" t="s">
        <v>38</v>
      </c>
      <c r="F755" s="1">
        <v>9087.0</v>
      </c>
      <c r="G755" s="1">
        <v>10817.0</v>
      </c>
      <c r="H755" s="1">
        <v>8798.0</v>
      </c>
      <c r="I755" s="7">
        <f>IFERROR(__xludf.DUMMYFUNCTION("SPLIT(B755,""T""""Z"")"),40434.0)</f>
        <v>40434</v>
      </c>
      <c r="J755" s="8">
        <f>IFERROR(__xludf.DUMMYFUNCTION("""COMPUTED_VALUE"""),0.9601736111111111)</f>
        <v>0.9601736111</v>
      </c>
      <c r="K755" s="9">
        <f t="shared" si="1"/>
        <v>11</v>
      </c>
      <c r="L755" s="7">
        <f>IFERROR(__xludf.DUMMYFUNCTION("SPLIT(C755,""T""""Z"")"),44798.0)</f>
        <v>44798</v>
      </c>
      <c r="M755" s="8">
        <f>IFERROR(__xludf.DUMMYFUNCTION("""COMPUTED_VALUE"""),0.6005092592592592)</f>
        <v>0.6005092593</v>
      </c>
      <c r="N755" s="10">
        <f t="shared" si="2"/>
        <v>134.4122222</v>
      </c>
      <c r="O755" s="11">
        <f t="shared" si="3"/>
        <v>0.8133493575</v>
      </c>
    </row>
    <row r="756">
      <c r="A756" s="1" t="s">
        <v>2288</v>
      </c>
      <c r="B756" s="1" t="s">
        <v>2289</v>
      </c>
      <c r="C756" s="1" t="s">
        <v>2290</v>
      </c>
      <c r="D756" s="1">
        <v>29.0</v>
      </c>
      <c r="E756" s="1" t="s">
        <v>38</v>
      </c>
      <c r="F756" s="1">
        <v>438.0</v>
      </c>
      <c r="G756" s="1">
        <v>1520.0</v>
      </c>
      <c r="H756" s="1">
        <v>1297.0</v>
      </c>
      <c r="I756" s="7">
        <f>IFERROR(__xludf.DUMMYFUNCTION("SPLIT(B756,""T""""Z"")"),40881.0)</f>
        <v>40881</v>
      </c>
      <c r="J756" s="8">
        <f>IFERROR(__xludf.DUMMYFUNCTION("""COMPUTED_VALUE"""),0.3675347222222222)</f>
        <v>0.3675347222</v>
      </c>
      <c r="K756" s="9">
        <f t="shared" si="1"/>
        <v>10</v>
      </c>
      <c r="L756" s="7">
        <f>IFERROR(__xludf.DUMMYFUNCTION("SPLIT(C756,""T""""Z"")"),44798.0)</f>
        <v>44798</v>
      </c>
      <c r="M756" s="8">
        <f>IFERROR(__xludf.DUMMYFUNCTION("""COMPUTED_VALUE"""),0.538425925925926)</f>
        <v>0.5384259259</v>
      </c>
      <c r="N756" s="10">
        <f t="shared" si="2"/>
        <v>132.9222222</v>
      </c>
      <c r="O756" s="11">
        <f t="shared" si="3"/>
        <v>0.8532894737</v>
      </c>
    </row>
    <row r="757">
      <c r="A757" s="1" t="s">
        <v>2291</v>
      </c>
      <c r="B757" s="1" t="s">
        <v>2292</v>
      </c>
      <c r="C757" s="1" t="s">
        <v>2293</v>
      </c>
      <c r="D757" s="1">
        <v>0.0</v>
      </c>
      <c r="E757" s="1" t="s">
        <v>48</v>
      </c>
      <c r="F757" s="1">
        <v>13.0</v>
      </c>
      <c r="G757" s="1">
        <v>50.0</v>
      </c>
      <c r="H757" s="1">
        <v>42.0</v>
      </c>
      <c r="I757" s="7">
        <f>IFERROR(__xludf.DUMMYFUNCTION("SPLIT(B757,""T""""Z"")"),44128.0)</f>
        <v>44128</v>
      </c>
      <c r="J757" s="8">
        <f>IFERROR(__xludf.DUMMYFUNCTION("""COMPUTED_VALUE"""),0.9094907407407408)</f>
        <v>0.9094907407</v>
      </c>
      <c r="K757" s="9">
        <f t="shared" si="1"/>
        <v>1</v>
      </c>
      <c r="L757" s="7">
        <f>IFERROR(__xludf.DUMMYFUNCTION("SPLIT(C757,""T""""Z"")"),44798.0)</f>
        <v>44798</v>
      </c>
      <c r="M757" s="8">
        <f>IFERROR(__xludf.DUMMYFUNCTION("""COMPUTED_VALUE"""),0.5949884259259259)</f>
        <v>0.5949884259</v>
      </c>
      <c r="N757" s="10">
        <f t="shared" si="2"/>
        <v>134.2797222</v>
      </c>
      <c r="O757" s="11">
        <f t="shared" si="3"/>
        <v>0.84</v>
      </c>
    </row>
    <row r="758">
      <c r="A758" s="1" t="s">
        <v>2294</v>
      </c>
      <c r="B758" s="1" t="s">
        <v>2295</v>
      </c>
      <c r="C758" s="1" t="s">
        <v>2296</v>
      </c>
      <c r="D758" s="1">
        <v>0.0</v>
      </c>
      <c r="E758" s="13" t="s">
        <v>22</v>
      </c>
      <c r="F758" s="1">
        <v>189.0</v>
      </c>
      <c r="G758" s="1">
        <v>16.0</v>
      </c>
      <c r="H758" s="1">
        <v>13.0</v>
      </c>
      <c r="I758" s="7">
        <f>IFERROR(__xludf.DUMMYFUNCTION("SPLIT(B758,""T""""Z"")"),44016.0)</f>
        <v>44016</v>
      </c>
      <c r="J758" s="8">
        <f>IFERROR(__xludf.DUMMYFUNCTION("""COMPUTED_VALUE"""),0.7901273148148148)</f>
        <v>0.7901273148</v>
      </c>
      <c r="K758" s="9">
        <f t="shared" si="1"/>
        <v>2</v>
      </c>
      <c r="L758" s="7">
        <f>IFERROR(__xludf.DUMMYFUNCTION("SPLIT(C758,""T""""Z"")"),44798.0)</f>
        <v>44798</v>
      </c>
      <c r="M758" s="8">
        <f>IFERROR(__xludf.DUMMYFUNCTION("""COMPUTED_VALUE"""),0.40207175925925925)</f>
        <v>0.4020717593</v>
      </c>
      <c r="N758" s="12">
        <f t="shared" si="2"/>
        <v>129.6497222</v>
      </c>
      <c r="O758" s="11">
        <f t="shared" si="3"/>
        <v>0.8125</v>
      </c>
    </row>
    <row r="759">
      <c r="A759" s="1" t="s">
        <v>2297</v>
      </c>
      <c r="B759" s="1" t="s">
        <v>2298</v>
      </c>
      <c r="C759" s="1" t="s">
        <v>2299</v>
      </c>
      <c r="D759" s="1">
        <v>0.0</v>
      </c>
      <c r="E759" s="1" t="s">
        <v>38</v>
      </c>
      <c r="F759" s="1">
        <v>321.0</v>
      </c>
      <c r="G759" s="1">
        <v>121.0</v>
      </c>
      <c r="H759" s="1">
        <v>22.0</v>
      </c>
      <c r="I759" s="7">
        <f>IFERROR(__xludf.DUMMYFUNCTION("SPLIT(B759,""T""""Z"")"),43367.0)</f>
        <v>43367</v>
      </c>
      <c r="J759" s="8">
        <f>IFERROR(__xludf.DUMMYFUNCTION("""COMPUTED_VALUE"""),0.2317824074074074)</f>
        <v>0.2317824074</v>
      </c>
      <c r="K759" s="9">
        <f t="shared" si="1"/>
        <v>3</v>
      </c>
      <c r="L759" s="7">
        <f>IFERROR(__xludf.DUMMYFUNCTION("SPLIT(C759,""T""""Z"")"),44798.0)</f>
        <v>44798</v>
      </c>
      <c r="M759" s="8">
        <f>IFERROR(__xludf.DUMMYFUNCTION("""COMPUTED_VALUE"""),0.3574189814814815)</f>
        <v>0.3574189815</v>
      </c>
      <c r="N759" s="10">
        <f t="shared" si="2"/>
        <v>128.5780556</v>
      </c>
      <c r="O759" s="11">
        <f t="shared" si="3"/>
        <v>0.1818181818</v>
      </c>
    </row>
    <row r="760">
      <c r="A760" s="1" t="s">
        <v>2300</v>
      </c>
      <c r="B760" s="1" t="s">
        <v>2301</v>
      </c>
      <c r="C760" s="1" t="s">
        <v>2302</v>
      </c>
      <c r="D760" s="1">
        <v>28.0</v>
      </c>
      <c r="E760" s="1" t="s">
        <v>18</v>
      </c>
      <c r="F760" s="1">
        <v>230.0</v>
      </c>
      <c r="G760" s="1">
        <v>187.0</v>
      </c>
      <c r="H760" s="1">
        <v>135.0</v>
      </c>
      <c r="I760" s="7">
        <f>IFERROR(__xludf.DUMMYFUNCTION("SPLIT(B760,""T""""Z"")"),43632.0)</f>
        <v>43632</v>
      </c>
      <c r="J760" s="8">
        <f>IFERROR(__xludf.DUMMYFUNCTION("""COMPUTED_VALUE"""),0.4134837962962963)</f>
        <v>0.4134837963</v>
      </c>
      <c r="K760" s="9">
        <f t="shared" si="1"/>
        <v>3</v>
      </c>
      <c r="L760" s="7">
        <f>IFERROR(__xludf.DUMMYFUNCTION("SPLIT(C760,""T""""Z"")"),44798.0)</f>
        <v>44798</v>
      </c>
      <c r="M760" s="8">
        <f>IFERROR(__xludf.DUMMYFUNCTION("""COMPUTED_VALUE"""),0.1295486111111111)</f>
        <v>0.1295486111</v>
      </c>
      <c r="N760" s="10">
        <f t="shared" si="2"/>
        <v>123.1091667</v>
      </c>
      <c r="O760" s="11">
        <f t="shared" si="3"/>
        <v>0.7219251337</v>
      </c>
    </row>
    <row r="761">
      <c r="A761" s="1" t="s">
        <v>2303</v>
      </c>
      <c r="B761" s="1" t="s">
        <v>2304</v>
      </c>
      <c r="C761" s="1" t="s">
        <v>2305</v>
      </c>
      <c r="D761" s="1">
        <v>14.0</v>
      </c>
      <c r="E761" s="1" t="s">
        <v>124</v>
      </c>
      <c r="F761" s="1">
        <v>397.0</v>
      </c>
      <c r="G761" s="1">
        <v>635.0</v>
      </c>
      <c r="H761" s="1">
        <v>631.0</v>
      </c>
      <c r="I761" s="7">
        <f>IFERROR(__xludf.DUMMYFUNCTION("SPLIT(B761,""T""""Z"")"),41563.0)</f>
        <v>41563</v>
      </c>
      <c r="J761" s="8">
        <f>IFERROR(__xludf.DUMMYFUNCTION("""COMPUTED_VALUE"""),0.7978587962962963)</f>
        <v>0.7978587963</v>
      </c>
      <c r="K761" s="9">
        <f t="shared" si="1"/>
        <v>8</v>
      </c>
      <c r="L761" s="7">
        <f>IFERROR(__xludf.DUMMYFUNCTION("SPLIT(C761,""T""""Z"")"),44798.0)</f>
        <v>44798</v>
      </c>
      <c r="M761" s="8">
        <f>IFERROR(__xludf.DUMMYFUNCTION("""COMPUTED_VALUE"""),0.4894791666666667)</f>
        <v>0.4894791667</v>
      </c>
      <c r="N761" s="10">
        <f t="shared" si="2"/>
        <v>131.7475</v>
      </c>
      <c r="O761" s="11">
        <f t="shared" si="3"/>
        <v>0.9937007874</v>
      </c>
    </row>
    <row r="762">
      <c r="A762" s="1" t="s">
        <v>2306</v>
      </c>
      <c r="B762" s="1" t="s">
        <v>2307</v>
      </c>
      <c r="C762" s="1" t="s">
        <v>1039</v>
      </c>
      <c r="D762" s="1">
        <v>0.0</v>
      </c>
      <c r="E762" s="1" t="s">
        <v>48</v>
      </c>
      <c r="F762" s="1">
        <v>38.0</v>
      </c>
      <c r="G762" s="1">
        <v>626.0</v>
      </c>
      <c r="H762" s="1">
        <v>348.0</v>
      </c>
      <c r="I762" s="7">
        <f>IFERROR(__xludf.DUMMYFUNCTION("SPLIT(B762,""T""""Z"")"),42194.0)</f>
        <v>42194</v>
      </c>
      <c r="J762" s="8">
        <f>IFERROR(__xludf.DUMMYFUNCTION("""COMPUTED_VALUE"""),0.7423611111111111)</f>
        <v>0.7423611111</v>
      </c>
      <c r="K762" s="9">
        <f t="shared" si="1"/>
        <v>7</v>
      </c>
      <c r="L762" s="7">
        <f>IFERROR(__xludf.DUMMYFUNCTION("SPLIT(C762,""T""""Z"")"),44798.0)</f>
        <v>44798</v>
      </c>
      <c r="M762" s="8">
        <f>IFERROR(__xludf.DUMMYFUNCTION("""COMPUTED_VALUE"""),0.5924537037037036)</f>
        <v>0.5924537037</v>
      </c>
      <c r="N762" s="10">
        <f t="shared" si="2"/>
        <v>134.2188889</v>
      </c>
      <c r="O762" s="11">
        <f t="shared" si="3"/>
        <v>0.5559105431</v>
      </c>
    </row>
    <row r="763">
      <c r="A763" s="1" t="s">
        <v>2308</v>
      </c>
      <c r="B763" s="1" t="s">
        <v>2309</v>
      </c>
      <c r="C763" s="1" t="s">
        <v>2310</v>
      </c>
      <c r="D763" s="1">
        <v>273.0</v>
      </c>
      <c r="E763" s="1" t="s">
        <v>48</v>
      </c>
      <c r="F763" s="1">
        <v>5207.0</v>
      </c>
      <c r="G763" s="1">
        <v>9195.0</v>
      </c>
      <c r="H763" s="1">
        <v>9097.0</v>
      </c>
      <c r="I763" s="7">
        <f>IFERROR(__xludf.DUMMYFUNCTION("SPLIT(B763,""T""""Z"")"),41454.0)</f>
        <v>41454</v>
      </c>
      <c r="J763" s="8">
        <f>IFERROR(__xludf.DUMMYFUNCTION("""COMPUTED_VALUE"""),0.9998611111111111)</f>
        <v>0.9998611111</v>
      </c>
      <c r="K763" s="9">
        <f t="shared" si="1"/>
        <v>9</v>
      </c>
      <c r="L763" s="7">
        <f>IFERROR(__xludf.DUMMYFUNCTION("SPLIT(C763,""T""""Z"")"),44798.0)</f>
        <v>44798</v>
      </c>
      <c r="M763" s="8">
        <f>IFERROR(__xludf.DUMMYFUNCTION("""COMPUTED_VALUE"""),0.4735185185185185)</f>
        <v>0.4735185185</v>
      </c>
      <c r="N763" s="10">
        <f t="shared" si="2"/>
        <v>131.3644444</v>
      </c>
      <c r="O763" s="11">
        <f t="shared" si="3"/>
        <v>0.9893420337</v>
      </c>
    </row>
    <row r="764">
      <c r="A764" s="1" t="s">
        <v>2311</v>
      </c>
      <c r="B764" s="1" t="s">
        <v>2312</v>
      </c>
      <c r="C764" s="1" t="s">
        <v>2313</v>
      </c>
      <c r="D764" s="1">
        <v>0.0</v>
      </c>
      <c r="E764" s="13" t="s">
        <v>22</v>
      </c>
      <c r="F764" s="1">
        <v>126.0</v>
      </c>
      <c r="G764" s="1">
        <v>210.0</v>
      </c>
      <c r="H764" s="1">
        <v>204.0</v>
      </c>
      <c r="I764" s="7">
        <f>IFERROR(__xludf.DUMMYFUNCTION("SPLIT(B764,""T""""Z"")"),41681.0)</f>
        <v>41681</v>
      </c>
      <c r="J764" s="8">
        <f>IFERROR(__xludf.DUMMYFUNCTION("""COMPUTED_VALUE"""),0.3113888888888889)</f>
        <v>0.3113888889</v>
      </c>
      <c r="K764" s="9">
        <f t="shared" si="1"/>
        <v>8</v>
      </c>
      <c r="L764" s="7">
        <f>IFERROR(__xludf.DUMMYFUNCTION("SPLIT(C764,""T""""Z"")"),44798.0)</f>
        <v>44798</v>
      </c>
      <c r="M764" s="8">
        <f>IFERROR(__xludf.DUMMYFUNCTION("""COMPUTED_VALUE"""),0.5691087962962963)</f>
        <v>0.5691087963</v>
      </c>
      <c r="N764" s="12">
        <f t="shared" si="2"/>
        <v>133.6586111</v>
      </c>
      <c r="O764" s="11">
        <f t="shared" si="3"/>
        <v>0.9714285714</v>
      </c>
    </row>
    <row r="765">
      <c r="A765" s="1" t="s">
        <v>2314</v>
      </c>
      <c r="B765" s="1" t="s">
        <v>2315</v>
      </c>
      <c r="C765" s="1" t="s">
        <v>2316</v>
      </c>
      <c r="D765" s="1">
        <v>4.0</v>
      </c>
      <c r="E765" s="1" t="s">
        <v>48</v>
      </c>
      <c r="F765" s="1">
        <v>144.0</v>
      </c>
      <c r="G765" s="1">
        <v>394.0</v>
      </c>
      <c r="H765" s="1">
        <v>248.0</v>
      </c>
      <c r="I765" s="7">
        <f>IFERROR(__xludf.DUMMYFUNCTION("SPLIT(B765,""T""""Z"")"),42166.0)</f>
        <v>42166</v>
      </c>
      <c r="J765" s="8">
        <f>IFERROR(__xludf.DUMMYFUNCTION("""COMPUTED_VALUE"""),0.31832175925925926)</f>
        <v>0.3183217593</v>
      </c>
      <c r="K765" s="9">
        <f t="shared" si="1"/>
        <v>7</v>
      </c>
      <c r="L765" s="7">
        <f>IFERROR(__xludf.DUMMYFUNCTION("SPLIT(C765,""T""""Z"")"),44798.0)</f>
        <v>44798</v>
      </c>
      <c r="M765" s="8">
        <f>IFERROR(__xludf.DUMMYFUNCTION("""COMPUTED_VALUE"""),0.35269675925925925)</f>
        <v>0.3526967593</v>
      </c>
      <c r="N765" s="10">
        <f t="shared" si="2"/>
        <v>128.4647222</v>
      </c>
      <c r="O765" s="11">
        <f t="shared" si="3"/>
        <v>0.6294416244</v>
      </c>
    </row>
    <row r="766">
      <c r="A766" s="1" t="s">
        <v>2317</v>
      </c>
      <c r="B766" s="1" t="s">
        <v>2318</v>
      </c>
      <c r="C766" s="1" t="s">
        <v>2319</v>
      </c>
      <c r="D766" s="1">
        <v>172.0</v>
      </c>
      <c r="E766" s="1" t="s">
        <v>18</v>
      </c>
      <c r="F766" s="1">
        <v>1135.0</v>
      </c>
      <c r="G766" s="1">
        <v>1108.0</v>
      </c>
      <c r="H766" s="1">
        <v>952.0</v>
      </c>
      <c r="I766" s="7">
        <f>IFERROR(__xludf.DUMMYFUNCTION("SPLIT(B766,""T""""Z"")"),42261.0)</f>
        <v>42261</v>
      </c>
      <c r="J766" s="8">
        <f>IFERROR(__xludf.DUMMYFUNCTION("""COMPUTED_VALUE"""),0.6279513888888889)</f>
        <v>0.6279513889</v>
      </c>
      <c r="K766" s="9">
        <f t="shared" si="1"/>
        <v>6</v>
      </c>
      <c r="L766" s="7">
        <f>IFERROR(__xludf.DUMMYFUNCTION("SPLIT(C766,""T""""Z"")"),44798.0)</f>
        <v>44798</v>
      </c>
      <c r="M766" s="8">
        <f>IFERROR(__xludf.DUMMYFUNCTION("""COMPUTED_VALUE"""),0.6105324074074074)</f>
        <v>0.6105324074</v>
      </c>
      <c r="N766" s="10">
        <f t="shared" si="2"/>
        <v>134.6527778</v>
      </c>
      <c r="O766" s="11">
        <f t="shared" si="3"/>
        <v>0.8592057762</v>
      </c>
    </row>
    <row r="767">
      <c r="A767" s="1" t="s">
        <v>2320</v>
      </c>
      <c r="B767" s="1" t="s">
        <v>2321</v>
      </c>
      <c r="C767" s="1" t="s">
        <v>2322</v>
      </c>
      <c r="D767" s="1">
        <v>0.0</v>
      </c>
      <c r="E767" s="13" t="s">
        <v>22</v>
      </c>
      <c r="F767" s="1">
        <v>134.0</v>
      </c>
      <c r="G767" s="1">
        <v>27.0</v>
      </c>
      <c r="H767" s="1">
        <v>22.0</v>
      </c>
      <c r="I767" s="7">
        <f>IFERROR(__xludf.DUMMYFUNCTION("SPLIT(B767,""T""""Z"")"),41856.0)</f>
        <v>41856</v>
      </c>
      <c r="J767" s="8">
        <f>IFERROR(__xludf.DUMMYFUNCTION("""COMPUTED_VALUE"""),0.8363425925925926)</f>
        <v>0.8363425926</v>
      </c>
      <c r="K767" s="9">
        <f t="shared" si="1"/>
        <v>8</v>
      </c>
      <c r="L767" s="7">
        <f>IFERROR(__xludf.DUMMYFUNCTION("SPLIT(C767,""T""""Z"")"),44798.0)</f>
        <v>44798</v>
      </c>
      <c r="M767" s="8">
        <f>IFERROR(__xludf.DUMMYFUNCTION("""COMPUTED_VALUE"""),0.26252314814814814)</f>
        <v>0.2625231481</v>
      </c>
      <c r="N767" s="12">
        <f t="shared" si="2"/>
        <v>126.3005556</v>
      </c>
      <c r="O767" s="11">
        <f t="shared" si="3"/>
        <v>0.8148148148</v>
      </c>
    </row>
    <row r="768">
      <c r="A768" s="1" t="s">
        <v>2323</v>
      </c>
      <c r="B768" s="1" t="s">
        <v>2324</v>
      </c>
      <c r="C768" s="1" t="s">
        <v>2325</v>
      </c>
      <c r="D768" s="1">
        <v>113.0</v>
      </c>
      <c r="E768" s="1" t="s">
        <v>38</v>
      </c>
      <c r="F768" s="1">
        <v>1216.0</v>
      </c>
      <c r="G768" s="1">
        <v>4089.0</v>
      </c>
      <c r="H768" s="1">
        <v>3176.0</v>
      </c>
      <c r="I768" s="7">
        <f>IFERROR(__xludf.DUMMYFUNCTION("SPLIT(B768,""T""""Z"")"),43159.0)</f>
        <v>43159</v>
      </c>
      <c r="J768" s="8">
        <f>IFERROR(__xludf.DUMMYFUNCTION("""COMPUTED_VALUE"""),0.6415162037037037)</f>
        <v>0.6415162037</v>
      </c>
      <c r="K768" s="9">
        <f t="shared" si="1"/>
        <v>4</v>
      </c>
      <c r="L768" s="7">
        <f>IFERROR(__xludf.DUMMYFUNCTION("SPLIT(C768,""T""""Z"")"),44798.0)</f>
        <v>44798</v>
      </c>
      <c r="M768" s="8">
        <f>IFERROR(__xludf.DUMMYFUNCTION("""COMPUTED_VALUE"""),0.5769791666666667)</f>
        <v>0.5769791667</v>
      </c>
      <c r="N768" s="10">
        <f t="shared" si="2"/>
        <v>133.8475</v>
      </c>
      <c r="O768" s="11">
        <f t="shared" si="3"/>
        <v>0.776718024</v>
      </c>
    </row>
    <row r="769">
      <c r="A769" s="1" t="s">
        <v>2326</v>
      </c>
      <c r="B769" s="1" t="s">
        <v>2327</v>
      </c>
      <c r="C769" s="1" t="s">
        <v>810</v>
      </c>
      <c r="D769" s="1">
        <v>44.0</v>
      </c>
      <c r="E769" s="1" t="s">
        <v>18</v>
      </c>
      <c r="F769" s="1">
        <v>2512.0</v>
      </c>
      <c r="G769" s="1">
        <v>3331.0</v>
      </c>
      <c r="H769" s="1">
        <v>3191.0</v>
      </c>
      <c r="I769" s="7">
        <f>IFERROR(__xludf.DUMMYFUNCTION("SPLIT(B769,""T""""Z"")"),41635.0)</f>
        <v>41635</v>
      </c>
      <c r="J769" s="8">
        <f>IFERROR(__xludf.DUMMYFUNCTION("""COMPUTED_VALUE"""),0.7959143518518519)</f>
        <v>0.7959143519</v>
      </c>
      <c r="K769" s="9">
        <f t="shared" si="1"/>
        <v>8</v>
      </c>
      <c r="L769" s="7">
        <f>IFERROR(__xludf.DUMMYFUNCTION("SPLIT(C769,""T""""Z"")"),44798.0)</f>
        <v>44798</v>
      </c>
      <c r="M769" s="8">
        <f>IFERROR(__xludf.DUMMYFUNCTION("""COMPUTED_VALUE"""),0.5840856481481481)</f>
        <v>0.5840856481</v>
      </c>
      <c r="N769" s="10">
        <f t="shared" si="2"/>
        <v>134.0180556</v>
      </c>
      <c r="O769" s="11">
        <f t="shared" si="3"/>
        <v>0.9579705794</v>
      </c>
    </row>
    <row r="770">
      <c r="A770" s="1" t="s">
        <v>2328</v>
      </c>
      <c r="B770" s="1" t="s">
        <v>2329</v>
      </c>
      <c r="C770" s="1" t="s">
        <v>2330</v>
      </c>
      <c r="D770" s="1">
        <v>15.0</v>
      </c>
      <c r="E770" s="1" t="s">
        <v>124</v>
      </c>
      <c r="F770" s="1">
        <v>245.0</v>
      </c>
      <c r="G770" s="1">
        <v>200.0</v>
      </c>
      <c r="H770" s="1">
        <v>197.0</v>
      </c>
      <c r="I770" s="7">
        <f>IFERROR(__xludf.DUMMYFUNCTION("SPLIT(B770,""T""""Z"")"),41887.0)</f>
        <v>41887</v>
      </c>
      <c r="J770" s="8">
        <f>IFERROR(__xludf.DUMMYFUNCTION("""COMPUTED_VALUE"""),0.1712847222222222)</f>
        <v>0.1712847222</v>
      </c>
      <c r="K770" s="9">
        <f t="shared" si="1"/>
        <v>7</v>
      </c>
      <c r="L770" s="7">
        <f>IFERROR(__xludf.DUMMYFUNCTION("SPLIT(C770,""T""""Z"")"),44798.0)</f>
        <v>44798</v>
      </c>
      <c r="M770" s="8">
        <f>IFERROR(__xludf.DUMMYFUNCTION("""COMPUTED_VALUE"""),0.6092708333333333)</f>
        <v>0.6092708333</v>
      </c>
      <c r="N770" s="10">
        <f t="shared" si="2"/>
        <v>134.6225</v>
      </c>
      <c r="O770" s="11">
        <f t="shared" si="3"/>
        <v>0.985</v>
      </c>
    </row>
    <row r="771">
      <c r="A771" s="1" t="s">
        <v>2331</v>
      </c>
      <c r="B771" s="1" t="s">
        <v>2332</v>
      </c>
      <c r="C771" s="1" t="s">
        <v>2333</v>
      </c>
      <c r="D771" s="1">
        <v>35.0</v>
      </c>
      <c r="E771" s="1" t="s">
        <v>38</v>
      </c>
      <c r="F771" s="1">
        <v>1817.0</v>
      </c>
      <c r="G771" s="1">
        <v>6216.0</v>
      </c>
      <c r="H771" s="1">
        <v>5650.0</v>
      </c>
      <c r="I771" s="7">
        <f>IFERROR(__xludf.DUMMYFUNCTION("SPLIT(B771,""T""""Z"")"),43334.0)</f>
        <v>43334</v>
      </c>
      <c r="J771" s="8">
        <f>IFERROR(__xludf.DUMMYFUNCTION("""COMPUTED_VALUE"""),0.2959027777777778)</f>
        <v>0.2959027778</v>
      </c>
      <c r="K771" s="9">
        <f t="shared" si="1"/>
        <v>4</v>
      </c>
      <c r="L771" s="7">
        <f>IFERROR(__xludf.DUMMYFUNCTION("SPLIT(C771,""T""""Z"")"),44798.0)</f>
        <v>44798</v>
      </c>
      <c r="M771" s="8">
        <f>IFERROR(__xludf.DUMMYFUNCTION("""COMPUTED_VALUE"""),0.5757523148148148)</f>
        <v>0.5757523148</v>
      </c>
      <c r="N771" s="10">
        <f t="shared" si="2"/>
        <v>133.8180556</v>
      </c>
      <c r="O771" s="11">
        <f t="shared" si="3"/>
        <v>0.9089446589</v>
      </c>
    </row>
    <row r="772">
      <c r="A772" s="1" t="s">
        <v>2334</v>
      </c>
      <c r="B772" s="1" t="s">
        <v>2335</v>
      </c>
      <c r="C772" s="1" t="s">
        <v>2336</v>
      </c>
      <c r="D772" s="1">
        <v>0.0</v>
      </c>
      <c r="E772" s="1" t="s">
        <v>48</v>
      </c>
      <c r="F772" s="1">
        <v>32.0</v>
      </c>
      <c r="G772" s="1">
        <v>471.0</v>
      </c>
      <c r="H772" s="1">
        <v>450.0</v>
      </c>
      <c r="I772" s="7">
        <f>IFERROR(__xludf.DUMMYFUNCTION("SPLIT(B772,""T""""Z"")"),41655.0)</f>
        <v>41655</v>
      </c>
      <c r="J772" s="8">
        <f>IFERROR(__xludf.DUMMYFUNCTION("""COMPUTED_VALUE"""),0.7342592592592593)</f>
        <v>0.7342592593</v>
      </c>
      <c r="K772" s="9">
        <f t="shared" si="1"/>
        <v>8</v>
      </c>
      <c r="L772" s="7">
        <f>IFERROR(__xludf.DUMMYFUNCTION("SPLIT(C772,""T""""Z"")"),44797.0)</f>
        <v>44797</v>
      </c>
      <c r="M772" s="8">
        <f>IFERROR(__xludf.DUMMYFUNCTION("""COMPUTED_VALUE"""),0.9111226851851851)</f>
        <v>0.9111226852</v>
      </c>
      <c r="N772" s="10">
        <f t="shared" si="2"/>
        <v>165.8669444</v>
      </c>
      <c r="O772" s="11">
        <f t="shared" si="3"/>
        <v>0.9554140127</v>
      </c>
    </row>
    <row r="773">
      <c r="A773" s="1" t="s">
        <v>2337</v>
      </c>
      <c r="B773" s="1" t="s">
        <v>2338</v>
      </c>
      <c r="C773" s="1" t="s">
        <v>2339</v>
      </c>
      <c r="D773" s="1">
        <v>226.0</v>
      </c>
      <c r="E773" s="1" t="s">
        <v>48</v>
      </c>
      <c r="F773" s="1">
        <v>5434.0</v>
      </c>
      <c r="G773" s="1">
        <v>3749.0</v>
      </c>
      <c r="H773" s="1">
        <v>3473.0</v>
      </c>
      <c r="I773" s="7">
        <f>IFERROR(__xludf.DUMMYFUNCTION("SPLIT(B773,""T""""Z"")"),43192.0)</f>
        <v>43192</v>
      </c>
      <c r="J773" s="8">
        <f>IFERROR(__xludf.DUMMYFUNCTION("""COMPUTED_VALUE"""),0.6134375)</f>
        <v>0.6134375</v>
      </c>
      <c r="K773" s="9">
        <f t="shared" si="1"/>
        <v>4</v>
      </c>
      <c r="L773" s="7">
        <f>IFERROR(__xludf.DUMMYFUNCTION("SPLIT(C773,""T""""Z"")"),44798.0)</f>
        <v>44798</v>
      </c>
      <c r="M773" s="8">
        <f>IFERROR(__xludf.DUMMYFUNCTION("""COMPUTED_VALUE"""),0.5575810185185185)</f>
        <v>0.5575810185</v>
      </c>
      <c r="N773" s="10">
        <f t="shared" si="2"/>
        <v>133.3819444</v>
      </c>
      <c r="O773" s="11">
        <f t="shared" si="3"/>
        <v>0.9263803681</v>
      </c>
    </row>
    <row r="774">
      <c r="A774" s="1" t="s">
        <v>2340</v>
      </c>
      <c r="B774" s="1" t="s">
        <v>2341</v>
      </c>
      <c r="C774" s="1" t="s">
        <v>2342</v>
      </c>
      <c r="D774" s="1">
        <v>37.0</v>
      </c>
      <c r="E774" s="1" t="s">
        <v>686</v>
      </c>
      <c r="F774" s="1">
        <v>114.0</v>
      </c>
      <c r="G774" s="1">
        <v>588.0</v>
      </c>
      <c r="H774" s="1">
        <v>565.0</v>
      </c>
      <c r="I774" s="7">
        <f>IFERROR(__xludf.DUMMYFUNCTION("SPLIT(B774,""T""""Z"")"),42698.0)</f>
        <v>42698</v>
      </c>
      <c r="J774" s="8">
        <f>IFERROR(__xludf.DUMMYFUNCTION("""COMPUTED_VALUE"""),0.7844560185185185)</f>
        <v>0.7844560185</v>
      </c>
      <c r="K774" s="9">
        <f t="shared" si="1"/>
        <v>5</v>
      </c>
      <c r="L774" s="7">
        <f>IFERROR(__xludf.DUMMYFUNCTION("SPLIT(C774,""T""""Z"")"),44798.0)</f>
        <v>44798</v>
      </c>
      <c r="M774" s="8">
        <f>IFERROR(__xludf.DUMMYFUNCTION("""COMPUTED_VALUE"""),0.2794097222222222)</f>
        <v>0.2794097222</v>
      </c>
      <c r="N774" s="10">
        <f t="shared" si="2"/>
        <v>126.7058333</v>
      </c>
      <c r="O774" s="11">
        <f t="shared" si="3"/>
        <v>0.9608843537</v>
      </c>
    </row>
    <row r="775">
      <c r="A775" s="1" t="s">
        <v>2343</v>
      </c>
      <c r="B775" s="1" t="s">
        <v>2344</v>
      </c>
      <c r="C775" s="1" t="s">
        <v>2345</v>
      </c>
      <c r="D775" s="1">
        <v>26.0</v>
      </c>
      <c r="E775" s="1" t="s">
        <v>48</v>
      </c>
      <c r="F775" s="1">
        <v>98.0</v>
      </c>
      <c r="G775" s="1">
        <v>0.0</v>
      </c>
      <c r="H775" s="1">
        <v>0.0</v>
      </c>
      <c r="I775" s="7">
        <f>IFERROR(__xludf.DUMMYFUNCTION("SPLIT(B775,""T""""Z"")"),41871.0)</f>
        <v>41871</v>
      </c>
      <c r="J775" s="8">
        <f>IFERROR(__xludf.DUMMYFUNCTION("""COMPUTED_VALUE"""),0.36224537037037036)</f>
        <v>0.3622453704</v>
      </c>
      <c r="K775" s="9">
        <f t="shared" si="1"/>
        <v>8</v>
      </c>
      <c r="L775" s="7">
        <f>IFERROR(__xludf.DUMMYFUNCTION("SPLIT(C775,""T""""Z"")"),44798.0)</f>
        <v>44798</v>
      </c>
      <c r="M775" s="8">
        <f>IFERROR(__xludf.DUMMYFUNCTION("""COMPUTED_VALUE"""),0.5681828703703704)</f>
        <v>0.5681828704</v>
      </c>
      <c r="N775" s="10">
        <f t="shared" si="2"/>
        <v>133.6363889</v>
      </c>
      <c r="O775" s="11">
        <f t="shared" si="3"/>
        <v>0</v>
      </c>
    </row>
    <row r="776">
      <c r="A776" s="1" t="s">
        <v>2346</v>
      </c>
      <c r="B776" s="1" t="s">
        <v>2347</v>
      </c>
      <c r="C776" s="1" t="s">
        <v>2348</v>
      </c>
      <c r="D776" s="1">
        <v>55.0</v>
      </c>
      <c r="E776" s="1" t="s">
        <v>18</v>
      </c>
      <c r="F776" s="1">
        <v>334.0</v>
      </c>
      <c r="G776" s="1">
        <v>503.0</v>
      </c>
      <c r="H776" s="1">
        <v>480.0</v>
      </c>
      <c r="I776" s="7">
        <f>IFERROR(__xludf.DUMMYFUNCTION("SPLIT(B776,""T""""Z"")"),43564.0)</f>
        <v>43564</v>
      </c>
      <c r="J776" s="8">
        <f>IFERROR(__xludf.DUMMYFUNCTION("""COMPUTED_VALUE"""),0.3820138888888889)</f>
        <v>0.3820138889</v>
      </c>
      <c r="K776" s="9">
        <f t="shared" si="1"/>
        <v>3</v>
      </c>
      <c r="L776" s="7">
        <f>IFERROR(__xludf.DUMMYFUNCTION("SPLIT(C776,""T""""Z"")"),44798.0)</f>
        <v>44798</v>
      </c>
      <c r="M776" s="8">
        <f>IFERROR(__xludf.DUMMYFUNCTION("""COMPUTED_VALUE"""),0.5189583333333333)</f>
        <v>0.5189583333</v>
      </c>
      <c r="N776" s="10">
        <f t="shared" si="2"/>
        <v>132.455</v>
      </c>
      <c r="O776" s="11">
        <f t="shared" si="3"/>
        <v>0.9542743539</v>
      </c>
    </row>
    <row r="777">
      <c r="A777" s="1" t="s">
        <v>2349</v>
      </c>
      <c r="B777" s="1" t="s">
        <v>2350</v>
      </c>
      <c r="C777" s="1" t="s">
        <v>2351</v>
      </c>
      <c r="D777" s="1">
        <v>0.0</v>
      </c>
      <c r="E777" s="1" t="s">
        <v>48</v>
      </c>
      <c r="F777" s="1">
        <v>240.0</v>
      </c>
      <c r="G777" s="1">
        <v>41.0</v>
      </c>
      <c r="H777" s="1">
        <v>23.0</v>
      </c>
      <c r="I777" s="7">
        <f>IFERROR(__xludf.DUMMYFUNCTION("SPLIT(B777,""T""""Z"")"),42407.0)</f>
        <v>42407</v>
      </c>
      <c r="J777" s="8">
        <f>IFERROR(__xludf.DUMMYFUNCTION("""COMPUTED_VALUE"""),0.9602430555555556)</f>
        <v>0.9602430556</v>
      </c>
      <c r="K777" s="9">
        <f t="shared" si="1"/>
        <v>6</v>
      </c>
      <c r="L777" s="7">
        <f>IFERROR(__xludf.DUMMYFUNCTION("SPLIT(C777,""T""""Z"")"),44798.0)</f>
        <v>44798</v>
      </c>
      <c r="M777" s="8">
        <f>IFERROR(__xludf.DUMMYFUNCTION("""COMPUTED_VALUE"""),0.5425694444444444)</f>
        <v>0.5425694444</v>
      </c>
      <c r="N777" s="10">
        <f t="shared" si="2"/>
        <v>133.0216667</v>
      </c>
      <c r="O777" s="11">
        <f t="shared" si="3"/>
        <v>0.5609756098</v>
      </c>
    </row>
    <row r="778">
      <c r="A778" s="1" t="s">
        <v>2352</v>
      </c>
      <c r="B778" s="1" t="s">
        <v>2353</v>
      </c>
      <c r="C778" s="1" t="s">
        <v>2354</v>
      </c>
      <c r="D778" s="1">
        <v>22.0</v>
      </c>
      <c r="E778" s="1" t="s">
        <v>48</v>
      </c>
      <c r="F778" s="1">
        <v>501.0</v>
      </c>
      <c r="G778" s="1">
        <v>2526.0</v>
      </c>
      <c r="H778" s="1">
        <v>2259.0</v>
      </c>
      <c r="I778" s="7">
        <f>IFERROR(__xludf.DUMMYFUNCTION("SPLIT(B778,""T""""Z"")"),40352.0)</f>
        <v>40352</v>
      </c>
      <c r="J778" s="8">
        <f>IFERROR(__xludf.DUMMYFUNCTION("""COMPUTED_VALUE"""),0.045625)</f>
        <v>0.045625</v>
      </c>
      <c r="K778" s="9">
        <f t="shared" si="1"/>
        <v>12</v>
      </c>
      <c r="L778" s="7">
        <f>IFERROR(__xludf.DUMMYFUNCTION("SPLIT(C778,""T""""Z"")"),44797.0)</f>
        <v>44797</v>
      </c>
      <c r="M778" s="8">
        <f>IFERROR(__xludf.DUMMYFUNCTION("""COMPUTED_VALUE"""),0.681886574074074)</f>
        <v>0.6818865741</v>
      </c>
      <c r="N778" s="10">
        <f t="shared" si="2"/>
        <v>160.3652778</v>
      </c>
      <c r="O778" s="11">
        <f t="shared" si="3"/>
        <v>0.8942992874</v>
      </c>
    </row>
    <row r="779">
      <c r="A779" s="1" t="s">
        <v>2355</v>
      </c>
      <c r="B779" s="1" t="s">
        <v>2356</v>
      </c>
      <c r="C779" s="1" t="s">
        <v>2357</v>
      </c>
      <c r="D779" s="1">
        <v>26.0</v>
      </c>
      <c r="E779" s="1" t="s">
        <v>48</v>
      </c>
      <c r="F779" s="1">
        <v>267.0</v>
      </c>
      <c r="G779" s="1">
        <v>683.0</v>
      </c>
      <c r="H779" s="1">
        <v>489.0</v>
      </c>
      <c r="I779" s="7">
        <f>IFERROR(__xludf.DUMMYFUNCTION("SPLIT(B779,""T""""Z"")"),41578.0)</f>
        <v>41578</v>
      </c>
      <c r="J779" s="8">
        <f>IFERROR(__xludf.DUMMYFUNCTION("""COMPUTED_VALUE"""),0.007013888888888889)</f>
        <v>0.007013888889</v>
      </c>
      <c r="K779" s="9">
        <f t="shared" si="1"/>
        <v>8</v>
      </c>
      <c r="L779" s="7">
        <f>IFERROR(__xludf.DUMMYFUNCTION("SPLIT(C779,""T""""Z"")"),44798.0)</f>
        <v>44798</v>
      </c>
      <c r="M779" s="8">
        <f>IFERROR(__xludf.DUMMYFUNCTION("""COMPUTED_VALUE"""),0.5783680555555556)</f>
        <v>0.5783680556</v>
      </c>
      <c r="N779" s="10">
        <f t="shared" si="2"/>
        <v>133.8808333</v>
      </c>
      <c r="O779" s="11">
        <f t="shared" si="3"/>
        <v>0.7159590044</v>
      </c>
    </row>
    <row r="780">
      <c r="A780" s="1" t="s">
        <v>2358</v>
      </c>
      <c r="B780" s="1" t="s">
        <v>2359</v>
      </c>
      <c r="C780" s="1" t="s">
        <v>2360</v>
      </c>
      <c r="D780" s="1">
        <v>82.0</v>
      </c>
      <c r="E780" s="1" t="s">
        <v>18</v>
      </c>
      <c r="F780" s="1">
        <v>607.0</v>
      </c>
      <c r="G780" s="1">
        <v>2816.0</v>
      </c>
      <c r="H780" s="1">
        <v>2802.0</v>
      </c>
      <c r="I780" s="7">
        <f>IFERROR(__xludf.DUMMYFUNCTION("SPLIT(B780,""T""""Z"")"),43221.0)</f>
        <v>43221</v>
      </c>
      <c r="J780" s="8">
        <f>IFERROR(__xludf.DUMMYFUNCTION("""COMPUTED_VALUE"""),0.9437731481481482)</f>
        <v>0.9437731481</v>
      </c>
      <c r="K780" s="9">
        <f t="shared" si="1"/>
        <v>4</v>
      </c>
      <c r="L780" s="7">
        <f>IFERROR(__xludf.DUMMYFUNCTION("SPLIT(C780,""T""""Z"")"),44798.0)</f>
        <v>44798</v>
      </c>
      <c r="M780" s="8">
        <f>IFERROR(__xludf.DUMMYFUNCTION("""COMPUTED_VALUE"""),0.5550231481481481)</f>
        <v>0.5550231481</v>
      </c>
      <c r="N780" s="10">
        <f t="shared" si="2"/>
        <v>133.3205556</v>
      </c>
      <c r="O780" s="11">
        <f t="shared" si="3"/>
        <v>0.9950284091</v>
      </c>
    </row>
    <row r="781">
      <c r="A781" s="1" t="s">
        <v>2361</v>
      </c>
      <c r="B781" s="1" t="s">
        <v>2362</v>
      </c>
      <c r="C781" s="1" t="s">
        <v>2363</v>
      </c>
      <c r="D781" s="1">
        <v>17.0</v>
      </c>
      <c r="E781" s="1" t="s">
        <v>38</v>
      </c>
      <c r="F781" s="1">
        <v>71.0</v>
      </c>
      <c r="G781" s="1">
        <v>540.0</v>
      </c>
      <c r="H781" s="1">
        <v>451.0</v>
      </c>
      <c r="I781" s="7">
        <f>IFERROR(__xludf.DUMMYFUNCTION("SPLIT(B781,""T""""Z"")"),43656.0)</f>
        <v>43656</v>
      </c>
      <c r="J781" s="8">
        <f>IFERROR(__xludf.DUMMYFUNCTION("""COMPUTED_VALUE"""),0.9516203703703704)</f>
        <v>0.9516203704</v>
      </c>
      <c r="K781" s="9">
        <f t="shared" si="1"/>
        <v>3</v>
      </c>
      <c r="L781" s="7">
        <f>IFERROR(__xludf.DUMMYFUNCTION("SPLIT(C781,""T""""Z"")"),44798.0)</f>
        <v>44798</v>
      </c>
      <c r="M781" s="8">
        <f>IFERROR(__xludf.DUMMYFUNCTION("""COMPUTED_VALUE"""),0.5259837962962963)</f>
        <v>0.5259837963</v>
      </c>
      <c r="N781" s="10">
        <f t="shared" si="2"/>
        <v>132.6236111</v>
      </c>
      <c r="O781" s="11">
        <f t="shared" si="3"/>
        <v>0.8351851852</v>
      </c>
    </row>
    <row r="782">
      <c r="A782" s="1" t="s">
        <v>2364</v>
      </c>
      <c r="B782" s="1" t="s">
        <v>2365</v>
      </c>
      <c r="C782" s="1" t="s">
        <v>2366</v>
      </c>
      <c r="D782" s="1">
        <v>0.0</v>
      </c>
      <c r="E782" s="13" t="s">
        <v>22</v>
      </c>
      <c r="F782" s="1">
        <v>50.0</v>
      </c>
      <c r="G782" s="1">
        <v>413.0</v>
      </c>
      <c r="H782" s="1">
        <v>351.0</v>
      </c>
      <c r="I782" s="7">
        <f>IFERROR(__xludf.DUMMYFUNCTION("SPLIT(B782,""T""""Z"")"),42952.0)</f>
        <v>42952</v>
      </c>
      <c r="J782" s="8">
        <f>IFERROR(__xludf.DUMMYFUNCTION("""COMPUTED_VALUE"""),0.6739814814814815)</f>
        <v>0.6739814815</v>
      </c>
      <c r="K782" s="9">
        <f t="shared" si="1"/>
        <v>5</v>
      </c>
      <c r="L782" s="7">
        <f>IFERROR(__xludf.DUMMYFUNCTION("SPLIT(C782,""T""""Z"")"),44798.0)</f>
        <v>44798</v>
      </c>
      <c r="M782" s="8">
        <f>IFERROR(__xludf.DUMMYFUNCTION("""COMPUTED_VALUE"""),0.557025462962963)</f>
        <v>0.557025463</v>
      </c>
      <c r="N782" s="12">
        <f t="shared" si="2"/>
        <v>133.3686111</v>
      </c>
      <c r="O782" s="11">
        <f t="shared" si="3"/>
        <v>0.8498789346</v>
      </c>
    </row>
    <row r="783">
      <c r="A783" s="1" t="s">
        <v>2367</v>
      </c>
      <c r="B783" s="1" t="s">
        <v>2368</v>
      </c>
      <c r="C783" s="1" t="s">
        <v>2369</v>
      </c>
      <c r="D783" s="1">
        <v>0.0</v>
      </c>
      <c r="E783" s="1" t="s">
        <v>52</v>
      </c>
      <c r="F783" s="1">
        <v>10512.0</v>
      </c>
      <c r="G783" s="1">
        <v>3067.0</v>
      </c>
      <c r="H783" s="1">
        <v>2561.0</v>
      </c>
      <c r="I783" s="7">
        <f>IFERROR(__xludf.DUMMYFUNCTION("SPLIT(B783,""T""""Z"")"),43436.0)</f>
        <v>43436</v>
      </c>
      <c r="J783" s="8">
        <f>IFERROR(__xludf.DUMMYFUNCTION("""COMPUTED_VALUE"""),0.8115856481481482)</f>
        <v>0.8115856481</v>
      </c>
      <c r="K783" s="9">
        <f t="shared" si="1"/>
        <v>3</v>
      </c>
      <c r="L783" s="7">
        <f>IFERROR(__xludf.DUMMYFUNCTION("SPLIT(C783,""T""""Z"")"),44798.0)</f>
        <v>44798</v>
      </c>
      <c r="M783" s="8">
        <f>IFERROR(__xludf.DUMMYFUNCTION("""COMPUTED_VALUE"""),0.5841666666666666)</f>
        <v>0.5841666667</v>
      </c>
      <c r="N783" s="10">
        <f t="shared" si="2"/>
        <v>134.02</v>
      </c>
      <c r="O783" s="11">
        <f t="shared" si="3"/>
        <v>0.8350179328</v>
      </c>
    </row>
    <row r="784">
      <c r="A784" s="1" t="s">
        <v>2370</v>
      </c>
      <c r="B784" s="1" t="s">
        <v>2371</v>
      </c>
      <c r="C784" s="1" t="s">
        <v>2372</v>
      </c>
      <c r="D784" s="1">
        <v>424.0</v>
      </c>
      <c r="E784" s="1" t="s">
        <v>124</v>
      </c>
      <c r="F784" s="1">
        <v>1955.0</v>
      </c>
      <c r="G784" s="1">
        <v>3461.0</v>
      </c>
      <c r="H784" s="1">
        <v>3135.0</v>
      </c>
      <c r="I784" s="7">
        <f>IFERROR(__xludf.DUMMYFUNCTION("SPLIT(B784,""T""""Z"")"),43251.0)</f>
        <v>43251</v>
      </c>
      <c r="J784" s="8">
        <f>IFERROR(__xludf.DUMMYFUNCTION("""COMPUTED_VALUE"""),0.06789351851851852)</f>
        <v>0.06789351852</v>
      </c>
      <c r="K784" s="9">
        <f t="shared" si="1"/>
        <v>4</v>
      </c>
      <c r="L784" s="7">
        <f>IFERROR(__xludf.DUMMYFUNCTION("SPLIT(C784,""T""""Z"")"),44798.0)</f>
        <v>44798</v>
      </c>
      <c r="M784" s="8">
        <f>IFERROR(__xludf.DUMMYFUNCTION("""COMPUTED_VALUE"""),0.5854976851851852)</f>
        <v>0.5854976852</v>
      </c>
      <c r="N784" s="10">
        <f t="shared" si="2"/>
        <v>134.0519444</v>
      </c>
      <c r="O784" s="11">
        <f t="shared" si="3"/>
        <v>0.9058075701</v>
      </c>
    </row>
    <row r="785">
      <c r="A785" s="1" t="s">
        <v>2373</v>
      </c>
      <c r="B785" s="1" t="s">
        <v>2374</v>
      </c>
      <c r="C785" s="1" t="s">
        <v>2375</v>
      </c>
      <c r="D785" s="1">
        <v>3.0</v>
      </c>
      <c r="E785" s="1" t="s">
        <v>38</v>
      </c>
      <c r="F785" s="1">
        <v>466.0</v>
      </c>
      <c r="G785" s="1">
        <v>96.0</v>
      </c>
      <c r="H785" s="1">
        <v>65.0</v>
      </c>
      <c r="I785" s="7">
        <f>IFERROR(__xludf.DUMMYFUNCTION("SPLIT(B785,""T""""Z"")"),43273.0)</f>
        <v>43273</v>
      </c>
      <c r="J785" s="8">
        <f>IFERROR(__xludf.DUMMYFUNCTION("""COMPUTED_VALUE"""),0.7388310185185185)</f>
        <v>0.7388310185</v>
      </c>
      <c r="K785" s="9">
        <f t="shared" si="1"/>
        <v>4</v>
      </c>
      <c r="L785" s="7">
        <f>IFERROR(__xludf.DUMMYFUNCTION("SPLIT(C785,""T""""Z"")"),44798.0)</f>
        <v>44798</v>
      </c>
      <c r="M785" s="8">
        <f>IFERROR(__xludf.DUMMYFUNCTION("""COMPUTED_VALUE"""),0.3359375)</f>
        <v>0.3359375</v>
      </c>
      <c r="N785" s="10">
        <f t="shared" si="2"/>
        <v>128.0625</v>
      </c>
      <c r="O785" s="11">
        <f t="shared" si="3"/>
        <v>0.6770833333</v>
      </c>
    </row>
    <row r="786">
      <c r="A786" s="1" t="s">
        <v>2376</v>
      </c>
      <c r="B786" s="1" t="s">
        <v>2377</v>
      </c>
      <c r="C786" s="1" t="s">
        <v>2378</v>
      </c>
      <c r="D786" s="1">
        <v>0.0</v>
      </c>
      <c r="E786" s="13" t="s">
        <v>22</v>
      </c>
      <c r="F786" s="1">
        <v>114.0</v>
      </c>
      <c r="G786" s="1">
        <v>80.0</v>
      </c>
      <c r="H786" s="1">
        <v>48.0</v>
      </c>
      <c r="I786" s="7">
        <f>IFERROR(__xludf.DUMMYFUNCTION("SPLIT(B786,""T""""Z"")"),40688.0)</f>
        <v>40688</v>
      </c>
      <c r="J786" s="8">
        <f>IFERROR(__xludf.DUMMYFUNCTION("""COMPUTED_VALUE"""),0.742349537037037)</f>
        <v>0.742349537</v>
      </c>
      <c r="K786" s="9">
        <f t="shared" si="1"/>
        <v>11</v>
      </c>
      <c r="L786" s="7">
        <f>IFERROR(__xludf.DUMMYFUNCTION("SPLIT(C786,""T""""Z"")"),44798.0)</f>
        <v>44798</v>
      </c>
      <c r="M786" s="8">
        <f>IFERROR(__xludf.DUMMYFUNCTION("""COMPUTED_VALUE"""),0.61)</f>
        <v>0.61</v>
      </c>
      <c r="N786" s="12">
        <f t="shared" si="2"/>
        <v>134.64</v>
      </c>
      <c r="O786" s="11">
        <f t="shared" si="3"/>
        <v>0.6</v>
      </c>
    </row>
    <row r="787">
      <c r="A787" s="1" t="s">
        <v>2379</v>
      </c>
      <c r="B787" s="1" t="s">
        <v>2380</v>
      </c>
      <c r="C787" s="1" t="s">
        <v>2381</v>
      </c>
      <c r="D787" s="1">
        <v>153.0</v>
      </c>
      <c r="E787" s="1" t="s">
        <v>48</v>
      </c>
      <c r="F787" s="1">
        <v>123.0</v>
      </c>
      <c r="G787" s="1">
        <v>304.0</v>
      </c>
      <c r="H787" s="1">
        <v>302.0</v>
      </c>
      <c r="I787" s="7">
        <f>IFERROR(__xludf.DUMMYFUNCTION("SPLIT(B787,""T""""Z"")"),42814.0)</f>
        <v>42814</v>
      </c>
      <c r="J787" s="8">
        <f>IFERROR(__xludf.DUMMYFUNCTION("""COMPUTED_VALUE"""),0.25699074074074074)</f>
        <v>0.2569907407</v>
      </c>
      <c r="K787" s="9">
        <f t="shared" si="1"/>
        <v>5</v>
      </c>
      <c r="L787" s="7">
        <f>IFERROR(__xludf.DUMMYFUNCTION("SPLIT(C787,""T""""Z"")"),44798.0)</f>
        <v>44798</v>
      </c>
      <c r="M787" s="8">
        <f>IFERROR(__xludf.DUMMYFUNCTION("""COMPUTED_VALUE"""),0.6106365740740741)</f>
        <v>0.6106365741</v>
      </c>
      <c r="N787" s="10">
        <f t="shared" si="2"/>
        <v>134.6552778</v>
      </c>
      <c r="O787" s="11">
        <f t="shared" si="3"/>
        <v>0.9934210526</v>
      </c>
    </row>
    <row r="788">
      <c r="A788" s="1" t="s">
        <v>2382</v>
      </c>
      <c r="B788" s="1" t="s">
        <v>2383</v>
      </c>
      <c r="C788" s="1" t="s">
        <v>2384</v>
      </c>
      <c r="D788" s="1">
        <v>21.0</v>
      </c>
      <c r="E788" s="1" t="s">
        <v>48</v>
      </c>
      <c r="F788" s="1">
        <v>768.0</v>
      </c>
      <c r="G788" s="1">
        <v>1869.0</v>
      </c>
      <c r="H788" s="1">
        <v>1403.0</v>
      </c>
      <c r="I788" s="7">
        <f>IFERROR(__xludf.DUMMYFUNCTION("SPLIT(B788,""T""""Z"")"),43195.0)</f>
        <v>43195</v>
      </c>
      <c r="J788" s="8">
        <f>IFERROR(__xludf.DUMMYFUNCTION("""COMPUTED_VALUE"""),0.7073842592592593)</f>
        <v>0.7073842593</v>
      </c>
      <c r="K788" s="9">
        <f t="shared" si="1"/>
        <v>4</v>
      </c>
      <c r="L788" s="7">
        <f>IFERROR(__xludf.DUMMYFUNCTION("SPLIT(C788,""T""""Z"")"),44798.0)</f>
        <v>44798</v>
      </c>
      <c r="M788" s="8">
        <f>IFERROR(__xludf.DUMMYFUNCTION("""COMPUTED_VALUE"""),0.6071412037037037)</f>
        <v>0.6071412037</v>
      </c>
      <c r="N788" s="10">
        <f t="shared" si="2"/>
        <v>134.5713889</v>
      </c>
      <c r="O788" s="11">
        <f t="shared" si="3"/>
        <v>0.7506688068</v>
      </c>
    </row>
    <row r="789">
      <c r="A789" s="1" t="s">
        <v>2385</v>
      </c>
      <c r="B789" s="1" t="s">
        <v>2386</v>
      </c>
      <c r="C789" s="1" t="s">
        <v>2387</v>
      </c>
      <c r="D789" s="1">
        <v>0.0</v>
      </c>
      <c r="E789" s="1" t="s">
        <v>228</v>
      </c>
      <c r="F789" s="1">
        <v>277.0</v>
      </c>
      <c r="G789" s="1">
        <v>111.0</v>
      </c>
      <c r="H789" s="1">
        <v>111.0</v>
      </c>
      <c r="I789" s="7">
        <f>IFERROR(__xludf.DUMMYFUNCTION("SPLIT(B789,""T""""Z"")"),40777.0)</f>
        <v>40777</v>
      </c>
      <c r="J789" s="8">
        <f>IFERROR(__xludf.DUMMYFUNCTION("""COMPUTED_VALUE"""),0.2253587962962963)</f>
        <v>0.2253587963</v>
      </c>
      <c r="K789" s="9">
        <f t="shared" si="1"/>
        <v>11</v>
      </c>
      <c r="L789" s="7">
        <f>IFERROR(__xludf.DUMMYFUNCTION("SPLIT(C789,""T""""Z"")"),44798.0)</f>
        <v>44798</v>
      </c>
      <c r="M789" s="8">
        <f>IFERROR(__xludf.DUMMYFUNCTION("""COMPUTED_VALUE"""),0.2654050925925926)</f>
        <v>0.2654050926</v>
      </c>
      <c r="N789" s="10">
        <f t="shared" si="2"/>
        <v>126.3697222</v>
      </c>
      <c r="O789" s="11">
        <f t="shared" si="3"/>
        <v>1</v>
      </c>
    </row>
    <row r="790">
      <c r="A790" s="1" t="s">
        <v>2388</v>
      </c>
      <c r="B790" s="1" t="s">
        <v>2389</v>
      </c>
      <c r="C790" s="1" t="s">
        <v>2390</v>
      </c>
      <c r="D790" s="1">
        <v>0.0</v>
      </c>
      <c r="E790" s="1" t="s">
        <v>38</v>
      </c>
      <c r="F790" s="1">
        <v>849.0</v>
      </c>
      <c r="G790" s="1">
        <v>1731.0</v>
      </c>
      <c r="H790" s="1">
        <v>1530.0</v>
      </c>
      <c r="I790" s="7">
        <f>IFERROR(__xludf.DUMMYFUNCTION("SPLIT(B790,""T""""Z"")"),40065.0)</f>
        <v>40065</v>
      </c>
      <c r="J790" s="8">
        <f>IFERROR(__xludf.DUMMYFUNCTION("""COMPUTED_VALUE"""),0.2050462962962963)</f>
        <v>0.2050462963</v>
      </c>
      <c r="K790" s="9">
        <f t="shared" si="1"/>
        <v>12</v>
      </c>
      <c r="L790" s="7">
        <f>IFERROR(__xludf.DUMMYFUNCTION("SPLIT(C790,""T""""Z"")"),44798.0)</f>
        <v>44798</v>
      </c>
      <c r="M790" s="8">
        <f>IFERROR(__xludf.DUMMYFUNCTION("""COMPUTED_VALUE"""),0.2772337962962963)</f>
        <v>0.2772337963</v>
      </c>
      <c r="N790" s="10">
        <f t="shared" si="2"/>
        <v>126.6536111</v>
      </c>
      <c r="O790" s="11">
        <f t="shared" si="3"/>
        <v>0.883882149</v>
      </c>
    </row>
    <row r="791">
      <c r="A791" s="1" t="s">
        <v>2391</v>
      </c>
      <c r="B791" s="1" t="s">
        <v>2392</v>
      </c>
      <c r="C791" s="1" t="s">
        <v>2393</v>
      </c>
      <c r="D791" s="1">
        <v>0.0</v>
      </c>
      <c r="E791" s="1" t="s">
        <v>206</v>
      </c>
      <c r="F791" s="1">
        <v>32.0</v>
      </c>
      <c r="G791" s="1">
        <v>0.0</v>
      </c>
      <c r="H791" s="1">
        <v>0.0</v>
      </c>
      <c r="I791" s="7">
        <f>IFERROR(__xludf.DUMMYFUNCTION("SPLIT(B791,""T""""Z"")"),44151.0)</f>
        <v>44151</v>
      </c>
      <c r="J791" s="8">
        <f>IFERROR(__xludf.DUMMYFUNCTION("""COMPUTED_VALUE"""),0.6104282407407408)</f>
        <v>0.6104282407</v>
      </c>
      <c r="K791" s="9">
        <f t="shared" si="1"/>
        <v>1</v>
      </c>
      <c r="L791" s="7">
        <f>IFERROR(__xludf.DUMMYFUNCTION("SPLIT(C791,""T""""Z"")"),44798.0)</f>
        <v>44798</v>
      </c>
      <c r="M791" s="8">
        <f>IFERROR(__xludf.DUMMYFUNCTION("""COMPUTED_VALUE"""),0.6018287037037037)</f>
        <v>0.6018287037</v>
      </c>
      <c r="N791" s="10">
        <f t="shared" si="2"/>
        <v>134.4438889</v>
      </c>
      <c r="O791" s="11">
        <f t="shared" si="3"/>
        <v>0</v>
      </c>
    </row>
    <row r="792">
      <c r="A792" s="1" t="s">
        <v>2394</v>
      </c>
      <c r="B792" s="1" t="s">
        <v>2395</v>
      </c>
      <c r="C792" s="1" t="s">
        <v>2396</v>
      </c>
      <c r="D792" s="1">
        <v>0.0</v>
      </c>
      <c r="E792" s="1" t="s">
        <v>347</v>
      </c>
      <c r="F792" s="1">
        <v>145.0</v>
      </c>
      <c r="G792" s="1">
        <v>0.0</v>
      </c>
      <c r="H792" s="1">
        <v>0.0</v>
      </c>
      <c r="I792" s="7">
        <f>IFERROR(__xludf.DUMMYFUNCTION("SPLIT(B792,""T""""Z"")"),42711.0)</f>
        <v>42711</v>
      </c>
      <c r="J792" s="8">
        <f>IFERROR(__xludf.DUMMYFUNCTION("""COMPUTED_VALUE"""),0.8024421296296296)</f>
        <v>0.8024421296</v>
      </c>
      <c r="K792" s="9">
        <f t="shared" si="1"/>
        <v>5</v>
      </c>
      <c r="L792" s="7">
        <f>IFERROR(__xludf.DUMMYFUNCTION("SPLIT(C792,""T""""Z"")"),44798.0)</f>
        <v>44798</v>
      </c>
      <c r="M792" s="8">
        <f>IFERROR(__xludf.DUMMYFUNCTION("""COMPUTED_VALUE"""),0.5934375)</f>
        <v>0.5934375</v>
      </c>
      <c r="N792" s="10">
        <f t="shared" si="2"/>
        <v>134.2425</v>
      </c>
      <c r="O792" s="11">
        <f t="shared" si="3"/>
        <v>0</v>
      </c>
    </row>
    <row r="793">
      <c r="A793" s="1" t="s">
        <v>2397</v>
      </c>
      <c r="B793" s="1" t="s">
        <v>2398</v>
      </c>
      <c r="C793" s="1" t="s">
        <v>2399</v>
      </c>
      <c r="D793" s="1">
        <v>86.0</v>
      </c>
      <c r="E793" s="1" t="s">
        <v>52</v>
      </c>
      <c r="F793" s="1">
        <v>420.0</v>
      </c>
      <c r="G793" s="1">
        <v>4524.0</v>
      </c>
      <c r="H793" s="1">
        <v>4489.0</v>
      </c>
      <c r="I793" s="7">
        <f>IFERROR(__xludf.DUMMYFUNCTION("SPLIT(B793,""T""""Z"")"),41491.0)</f>
        <v>41491</v>
      </c>
      <c r="J793" s="8">
        <f>IFERROR(__xludf.DUMMYFUNCTION("""COMPUTED_VALUE"""),0.3271759259259259)</f>
        <v>0.3271759259</v>
      </c>
      <c r="K793" s="9">
        <f t="shared" si="1"/>
        <v>9</v>
      </c>
      <c r="L793" s="7">
        <f>IFERROR(__xludf.DUMMYFUNCTION("SPLIT(C793,""T""""Z"")"),44798.0)</f>
        <v>44798</v>
      </c>
      <c r="M793" s="8">
        <f>IFERROR(__xludf.DUMMYFUNCTION("""COMPUTED_VALUE"""),0.5250925925925926)</f>
        <v>0.5250925926</v>
      </c>
      <c r="N793" s="10">
        <f t="shared" si="2"/>
        <v>132.6022222</v>
      </c>
      <c r="O793" s="11">
        <f t="shared" si="3"/>
        <v>0.9922634836</v>
      </c>
    </row>
    <row r="794">
      <c r="A794" s="1" t="s">
        <v>2400</v>
      </c>
      <c r="B794" s="1" t="s">
        <v>2401</v>
      </c>
      <c r="C794" s="1" t="s">
        <v>2402</v>
      </c>
      <c r="D794" s="1">
        <v>115.0</v>
      </c>
      <c r="E794" s="1" t="s">
        <v>48</v>
      </c>
      <c r="F794" s="1">
        <v>3513.0</v>
      </c>
      <c r="G794" s="1">
        <v>3387.0</v>
      </c>
      <c r="H794" s="1">
        <v>3318.0</v>
      </c>
      <c r="I794" s="7">
        <f>IFERROR(__xludf.DUMMYFUNCTION("SPLIT(B794,""T""""Z"")"),42226.0)</f>
        <v>42226</v>
      </c>
      <c r="J794" s="8">
        <f>IFERROR(__xludf.DUMMYFUNCTION("""COMPUTED_VALUE"""),0.5669675925925926)</f>
        <v>0.5669675926</v>
      </c>
      <c r="K794" s="9">
        <f t="shared" si="1"/>
        <v>7</v>
      </c>
      <c r="L794" s="7">
        <f>IFERROR(__xludf.DUMMYFUNCTION("SPLIT(C794,""T""""Z"")"),44798.0)</f>
        <v>44798</v>
      </c>
      <c r="M794" s="8">
        <f>IFERROR(__xludf.DUMMYFUNCTION("""COMPUTED_VALUE"""),0.5965046296296296)</f>
        <v>0.5965046296</v>
      </c>
      <c r="N794" s="10">
        <f t="shared" si="2"/>
        <v>134.3161111</v>
      </c>
      <c r="O794" s="11">
        <f t="shared" si="3"/>
        <v>0.9796279894</v>
      </c>
    </row>
    <row r="795">
      <c r="A795" s="1" t="s">
        <v>2403</v>
      </c>
      <c r="B795" s="1" t="s">
        <v>2404</v>
      </c>
      <c r="C795" s="1" t="s">
        <v>2405</v>
      </c>
      <c r="D795" s="1">
        <v>123.0</v>
      </c>
      <c r="E795" s="1" t="s">
        <v>2406</v>
      </c>
      <c r="F795" s="1">
        <v>6087.0</v>
      </c>
      <c r="G795" s="1">
        <v>4771.0</v>
      </c>
      <c r="H795" s="1">
        <v>4755.0</v>
      </c>
      <c r="I795" s="7">
        <f>IFERROR(__xludf.DUMMYFUNCTION("SPLIT(B795,""T""""Z"")"),40552.0)</f>
        <v>40552</v>
      </c>
      <c r="J795" s="8">
        <f>IFERROR(__xludf.DUMMYFUNCTION("""COMPUTED_VALUE"""),0.36385416666666665)</f>
        <v>0.3638541667</v>
      </c>
      <c r="K795" s="9">
        <f t="shared" si="1"/>
        <v>11</v>
      </c>
      <c r="L795" s="7">
        <f>IFERROR(__xludf.DUMMYFUNCTION("SPLIT(C795,""T""""Z"")"),44798.0)</f>
        <v>44798</v>
      </c>
      <c r="M795" s="8">
        <f>IFERROR(__xludf.DUMMYFUNCTION("""COMPUTED_VALUE"""),0.5616203703703704)</f>
        <v>0.5616203704</v>
      </c>
      <c r="N795" s="10">
        <f t="shared" si="2"/>
        <v>133.4788889</v>
      </c>
      <c r="O795" s="11">
        <f t="shared" si="3"/>
        <v>0.9966464054</v>
      </c>
    </row>
    <row r="796">
      <c r="A796" s="1" t="s">
        <v>2407</v>
      </c>
      <c r="B796" s="1" t="s">
        <v>2408</v>
      </c>
      <c r="C796" s="1" t="s">
        <v>2409</v>
      </c>
      <c r="D796" s="1">
        <v>0.0</v>
      </c>
      <c r="E796" s="1" t="s">
        <v>52</v>
      </c>
      <c r="F796" s="1">
        <v>512.0</v>
      </c>
      <c r="G796" s="1">
        <v>198.0</v>
      </c>
      <c r="H796" s="1">
        <v>196.0</v>
      </c>
      <c r="I796" s="7">
        <f>IFERROR(__xludf.DUMMYFUNCTION("SPLIT(B796,""T""""Z"")"),42567.0)</f>
        <v>42567</v>
      </c>
      <c r="J796" s="8">
        <f>IFERROR(__xludf.DUMMYFUNCTION("""COMPUTED_VALUE"""),0.43038194444444444)</f>
        <v>0.4303819444</v>
      </c>
      <c r="K796" s="9">
        <f t="shared" si="1"/>
        <v>6</v>
      </c>
      <c r="L796" s="7">
        <f>IFERROR(__xludf.DUMMYFUNCTION("SPLIT(C796,""T""""Z"")"),44798.0)</f>
        <v>44798</v>
      </c>
      <c r="M796" s="8">
        <f>IFERROR(__xludf.DUMMYFUNCTION("""COMPUTED_VALUE"""),0.6088888888888889)</f>
        <v>0.6088888889</v>
      </c>
      <c r="N796" s="10">
        <f t="shared" si="2"/>
        <v>134.6133333</v>
      </c>
      <c r="O796" s="11">
        <f t="shared" si="3"/>
        <v>0.9898989899</v>
      </c>
    </row>
    <row r="797">
      <c r="A797" s="1" t="s">
        <v>2410</v>
      </c>
      <c r="B797" s="1" t="s">
        <v>2411</v>
      </c>
      <c r="C797" s="1" t="s">
        <v>2412</v>
      </c>
      <c r="D797" s="1">
        <v>121.0</v>
      </c>
      <c r="E797" s="1" t="s">
        <v>95</v>
      </c>
      <c r="F797" s="1">
        <v>1281.0</v>
      </c>
      <c r="G797" s="1">
        <v>6969.0</v>
      </c>
      <c r="H797" s="1">
        <v>5872.0</v>
      </c>
      <c r="I797" s="7">
        <f>IFERROR(__xludf.DUMMYFUNCTION("SPLIT(B797,""T""""Z"")"),42250.0)</f>
        <v>42250</v>
      </c>
      <c r="J797" s="8">
        <f>IFERROR(__xludf.DUMMYFUNCTION("""COMPUTED_VALUE"""),0.9857175925925926)</f>
        <v>0.9857175926</v>
      </c>
      <c r="K797" s="9">
        <f t="shared" si="1"/>
        <v>6</v>
      </c>
      <c r="L797" s="7">
        <f>IFERROR(__xludf.DUMMYFUNCTION("SPLIT(C797,""T""""Z"")"),44798.0)</f>
        <v>44798</v>
      </c>
      <c r="M797" s="8">
        <f>IFERROR(__xludf.DUMMYFUNCTION("""COMPUTED_VALUE"""),0.6088194444444445)</f>
        <v>0.6088194444</v>
      </c>
      <c r="N797" s="10">
        <f t="shared" si="2"/>
        <v>134.6116667</v>
      </c>
      <c r="O797" s="11">
        <f t="shared" si="3"/>
        <v>0.8425886067</v>
      </c>
    </row>
    <row r="798">
      <c r="A798" s="1" t="s">
        <v>2413</v>
      </c>
      <c r="B798" s="1" t="s">
        <v>2414</v>
      </c>
      <c r="C798" s="1" t="s">
        <v>2415</v>
      </c>
      <c r="D798" s="1">
        <v>75.0</v>
      </c>
      <c r="E798" s="1" t="s">
        <v>95</v>
      </c>
      <c r="F798" s="1">
        <v>20.0</v>
      </c>
      <c r="G798" s="1">
        <v>0.0</v>
      </c>
      <c r="H798" s="1">
        <v>0.0</v>
      </c>
      <c r="I798" s="7">
        <f>IFERROR(__xludf.DUMMYFUNCTION("SPLIT(B798,""T""""Z"")"),41572.0)</f>
        <v>41572</v>
      </c>
      <c r="J798" s="8">
        <f>IFERROR(__xludf.DUMMYFUNCTION("""COMPUTED_VALUE"""),0.5890046296296296)</f>
        <v>0.5890046296</v>
      </c>
      <c r="K798" s="9">
        <f t="shared" si="1"/>
        <v>8</v>
      </c>
      <c r="L798" s="7">
        <f>IFERROR(__xludf.DUMMYFUNCTION("SPLIT(C798,""T""""Z"")"),44798.0)</f>
        <v>44798</v>
      </c>
      <c r="M798" s="8">
        <f>IFERROR(__xludf.DUMMYFUNCTION("""COMPUTED_VALUE"""),0.48172453703703705)</f>
        <v>0.481724537</v>
      </c>
      <c r="N798" s="10">
        <f t="shared" si="2"/>
        <v>131.5613889</v>
      </c>
      <c r="O798" s="11">
        <f t="shared" si="3"/>
        <v>0</v>
      </c>
    </row>
    <row r="799">
      <c r="A799" s="1" t="s">
        <v>2416</v>
      </c>
      <c r="B799" s="1" t="s">
        <v>2417</v>
      </c>
      <c r="C799" s="1" t="s">
        <v>2418</v>
      </c>
      <c r="D799" s="1">
        <v>7.0</v>
      </c>
      <c r="E799" s="1" t="s">
        <v>347</v>
      </c>
      <c r="F799" s="1">
        <v>161.0</v>
      </c>
      <c r="G799" s="1">
        <v>639.0</v>
      </c>
      <c r="H799" s="1">
        <v>609.0</v>
      </c>
      <c r="I799" s="7">
        <f>IFERROR(__xludf.DUMMYFUNCTION("SPLIT(B799,""T""""Z"")"),42139.0)</f>
        <v>42139</v>
      </c>
      <c r="J799" s="8">
        <f>IFERROR(__xludf.DUMMYFUNCTION("""COMPUTED_VALUE"""),0.28989583333333335)</f>
        <v>0.2898958333</v>
      </c>
      <c r="K799" s="9">
        <f t="shared" si="1"/>
        <v>7</v>
      </c>
      <c r="L799" s="7">
        <f>IFERROR(__xludf.DUMMYFUNCTION("SPLIT(C799,""T""""Z"")"),44798.0)</f>
        <v>44798</v>
      </c>
      <c r="M799" s="8">
        <f>IFERROR(__xludf.DUMMYFUNCTION("""COMPUTED_VALUE"""),0.3723842592592593)</f>
        <v>0.3723842593</v>
      </c>
      <c r="N799" s="10">
        <f t="shared" si="2"/>
        <v>128.9372222</v>
      </c>
      <c r="O799" s="11">
        <f t="shared" si="3"/>
        <v>0.9530516432</v>
      </c>
    </row>
    <row r="800">
      <c r="A800" s="1" t="s">
        <v>2419</v>
      </c>
      <c r="B800" s="1" t="s">
        <v>2420</v>
      </c>
      <c r="C800" s="1" t="s">
        <v>2421</v>
      </c>
      <c r="D800" s="1">
        <v>0.0</v>
      </c>
      <c r="E800" s="13" t="s">
        <v>22</v>
      </c>
      <c r="F800" s="1">
        <v>0.0</v>
      </c>
      <c r="G800" s="1">
        <v>71.0</v>
      </c>
      <c r="H800" s="1">
        <v>11.0</v>
      </c>
      <c r="I800" s="7">
        <f>IFERROR(__xludf.DUMMYFUNCTION("SPLIT(B800,""T""""Z"")"),41074.0)</f>
        <v>41074</v>
      </c>
      <c r="J800" s="8">
        <f>IFERROR(__xludf.DUMMYFUNCTION("""COMPUTED_VALUE"""),0.33108796296296295)</f>
        <v>0.331087963</v>
      </c>
      <c r="K800" s="9">
        <f t="shared" si="1"/>
        <v>10</v>
      </c>
      <c r="L800" s="7">
        <f>IFERROR(__xludf.DUMMYFUNCTION("SPLIT(C800,""T""""Z"")"),44798.0)</f>
        <v>44798</v>
      </c>
      <c r="M800" s="8">
        <f>IFERROR(__xludf.DUMMYFUNCTION("""COMPUTED_VALUE"""),0.48207175925925927)</f>
        <v>0.4820717593</v>
      </c>
      <c r="N800" s="12">
        <f t="shared" si="2"/>
        <v>131.5697222</v>
      </c>
      <c r="O800" s="11">
        <f t="shared" si="3"/>
        <v>0.1549295775</v>
      </c>
    </row>
    <row r="801">
      <c r="A801" s="1" t="s">
        <v>2422</v>
      </c>
      <c r="B801" s="1" t="s">
        <v>2423</v>
      </c>
      <c r="C801" s="1" t="s">
        <v>2424</v>
      </c>
      <c r="D801" s="1">
        <v>124.0</v>
      </c>
      <c r="E801" s="1" t="s">
        <v>18</v>
      </c>
      <c r="F801" s="1">
        <v>5552.0</v>
      </c>
      <c r="G801" s="1">
        <v>9355.0</v>
      </c>
      <c r="H801" s="1">
        <v>6934.0</v>
      </c>
      <c r="I801" s="7">
        <f>IFERROR(__xludf.DUMMYFUNCTION("SPLIT(B801,""T""""Z"")"),44012.0)</f>
        <v>44012</v>
      </c>
      <c r="J801" s="8">
        <f>IFERROR(__xludf.DUMMYFUNCTION("""COMPUTED_VALUE"""),0.17194444444444446)</f>
        <v>0.1719444444</v>
      </c>
      <c r="K801" s="9">
        <f t="shared" si="1"/>
        <v>2</v>
      </c>
      <c r="L801" s="7">
        <f>IFERROR(__xludf.DUMMYFUNCTION("SPLIT(C801,""T""""Z"")"),44798.0)</f>
        <v>44798</v>
      </c>
      <c r="M801" s="8">
        <f>IFERROR(__xludf.DUMMYFUNCTION("""COMPUTED_VALUE"""),0.5436574074074074)</f>
        <v>0.5436574074</v>
      </c>
      <c r="N801" s="10">
        <f t="shared" si="2"/>
        <v>133.0477778</v>
      </c>
      <c r="O801" s="11">
        <f t="shared" si="3"/>
        <v>0.7412079102</v>
      </c>
    </row>
    <row r="802">
      <c r="A802" s="1" t="s">
        <v>2425</v>
      </c>
      <c r="B802" s="1" t="s">
        <v>2426</v>
      </c>
      <c r="C802" s="1" t="s">
        <v>2427</v>
      </c>
      <c r="D802" s="1">
        <v>40.0</v>
      </c>
      <c r="E802" s="1" t="s">
        <v>52</v>
      </c>
      <c r="F802" s="1">
        <v>184.0</v>
      </c>
      <c r="G802" s="1">
        <v>463.0</v>
      </c>
      <c r="H802" s="1">
        <v>409.0</v>
      </c>
      <c r="I802" s="7">
        <f>IFERROR(__xludf.DUMMYFUNCTION("SPLIT(B802,""T""""Z"")"),44145.0)</f>
        <v>44145</v>
      </c>
      <c r="J802" s="8">
        <f>IFERROR(__xludf.DUMMYFUNCTION("""COMPUTED_VALUE"""),0.6020833333333333)</f>
        <v>0.6020833333</v>
      </c>
      <c r="K802" s="9">
        <f t="shared" si="1"/>
        <v>1</v>
      </c>
      <c r="L802" s="7">
        <f>IFERROR(__xludf.DUMMYFUNCTION("SPLIT(C802,""T""""Z"")"),44798.0)</f>
        <v>44798</v>
      </c>
      <c r="M802" s="8">
        <f>IFERROR(__xludf.DUMMYFUNCTION("""COMPUTED_VALUE"""),0.5908680555555555)</f>
        <v>0.5908680556</v>
      </c>
      <c r="N802" s="10">
        <f t="shared" si="2"/>
        <v>134.1808333</v>
      </c>
      <c r="O802" s="11">
        <f t="shared" si="3"/>
        <v>0.8833693305</v>
      </c>
    </row>
    <row r="803">
      <c r="A803" s="1" t="s">
        <v>2428</v>
      </c>
      <c r="B803" s="1" t="s">
        <v>2429</v>
      </c>
      <c r="C803" s="1" t="s">
        <v>2430</v>
      </c>
      <c r="D803" s="1">
        <v>24.0</v>
      </c>
      <c r="E803" s="1" t="s">
        <v>48</v>
      </c>
      <c r="F803" s="1">
        <v>127.0</v>
      </c>
      <c r="G803" s="1">
        <v>1320.0</v>
      </c>
      <c r="H803" s="1">
        <v>1037.0</v>
      </c>
      <c r="I803" s="7">
        <f>IFERROR(__xludf.DUMMYFUNCTION("SPLIT(B803,""T""""Z"")"),41302.0)</f>
        <v>41302</v>
      </c>
      <c r="J803" s="8">
        <f>IFERROR(__xludf.DUMMYFUNCTION("""COMPUTED_VALUE"""),0.6994444444444444)</f>
        <v>0.6994444444</v>
      </c>
      <c r="K803" s="9">
        <f t="shared" si="1"/>
        <v>9</v>
      </c>
      <c r="L803" s="7">
        <f>IFERROR(__xludf.DUMMYFUNCTION("SPLIT(C803,""T""""Z"")"),44798.0)</f>
        <v>44798</v>
      </c>
      <c r="M803" s="8">
        <f>IFERROR(__xludf.DUMMYFUNCTION("""COMPUTED_VALUE"""),0.520636574074074)</f>
        <v>0.5206365741</v>
      </c>
      <c r="N803" s="10">
        <f t="shared" si="2"/>
        <v>132.4952778</v>
      </c>
      <c r="O803" s="11">
        <f t="shared" si="3"/>
        <v>0.7856060606</v>
      </c>
    </row>
    <row r="804">
      <c r="A804" s="1" t="s">
        <v>2431</v>
      </c>
      <c r="B804" s="1" t="s">
        <v>2432</v>
      </c>
      <c r="C804" s="1" t="s">
        <v>2433</v>
      </c>
      <c r="D804" s="1">
        <v>1.0</v>
      </c>
      <c r="E804" s="1" t="s">
        <v>206</v>
      </c>
      <c r="F804" s="1">
        <v>692.0</v>
      </c>
      <c r="G804" s="1">
        <v>402.0</v>
      </c>
      <c r="H804" s="1">
        <v>395.0</v>
      </c>
      <c r="I804" s="7">
        <f>IFERROR(__xludf.DUMMYFUNCTION("SPLIT(B804,""T""""Z"")"),41793.0)</f>
        <v>41793</v>
      </c>
      <c r="J804" s="8">
        <f>IFERROR(__xludf.DUMMYFUNCTION("""COMPUTED_VALUE"""),0.1973263888888889)</f>
        <v>0.1973263889</v>
      </c>
      <c r="K804" s="9">
        <f t="shared" si="1"/>
        <v>8</v>
      </c>
      <c r="L804" s="7">
        <f>IFERROR(__xludf.DUMMYFUNCTION("SPLIT(C804,""T""""Z"")"),44798.0)</f>
        <v>44798</v>
      </c>
      <c r="M804" s="8">
        <f>IFERROR(__xludf.DUMMYFUNCTION("""COMPUTED_VALUE"""),0.4938194444444444)</f>
        <v>0.4938194444</v>
      </c>
      <c r="N804" s="10">
        <f t="shared" si="2"/>
        <v>131.8516667</v>
      </c>
      <c r="O804" s="11">
        <f t="shared" si="3"/>
        <v>0.9825870647</v>
      </c>
    </row>
    <row r="805">
      <c r="A805" s="1" t="s">
        <v>2434</v>
      </c>
      <c r="B805" s="1" t="s">
        <v>2435</v>
      </c>
      <c r="C805" s="1" t="s">
        <v>2436</v>
      </c>
      <c r="D805" s="1">
        <v>31.0</v>
      </c>
      <c r="E805" s="1" t="s">
        <v>18</v>
      </c>
      <c r="F805" s="1">
        <v>297.0</v>
      </c>
      <c r="G805" s="1">
        <v>2803.0</v>
      </c>
      <c r="H805" s="1">
        <v>2787.0</v>
      </c>
      <c r="I805" s="7">
        <f>IFERROR(__xludf.DUMMYFUNCTION("SPLIT(B805,""T""""Z"")"),41974.0)</f>
        <v>41974</v>
      </c>
      <c r="J805" s="8">
        <f>IFERROR(__xludf.DUMMYFUNCTION("""COMPUTED_VALUE"""),0.6928125)</f>
        <v>0.6928125</v>
      </c>
      <c r="K805" s="9">
        <f t="shared" si="1"/>
        <v>7</v>
      </c>
      <c r="L805" s="7">
        <f>IFERROR(__xludf.DUMMYFUNCTION("SPLIT(C805,""T""""Z"")"),44798.0)</f>
        <v>44798</v>
      </c>
      <c r="M805" s="8">
        <f>IFERROR(__xludf.DUMMYFUNCTION("""COMPUTED_VALUE"""),0.3954976851851852)</f>
        <v>0.3954976852</v>
      </c>
      <c r="N805" s="10">
        <f t="shared" si="2"/>
        <v>129.4919444</v>
      </c>
      <c r="O805" s="11">
        <f t="shared" si="3"/>
        <v>0.9942918302</v>
      </c>
    </row>
    <row r="806">
      <c r="A806" s="1" t="s">
        <v>2437</v>
      </c>
      <c r="B806" s="1" t="s">
        <v>2438</v>
      </c>
      <c r="C806" s="1" t="s">
        <v>2439</v>
      </c>
      <c r="D806" s="1">
        <v>135.0</v>
      </c>
      <c r="E806" s="1" t="s">
        <v>124</v>
      </c>
      <c r="F806" s="1">
        <v>137.0</v>
      </c>
      <c r="G806" s="1">
        <v>338.0</v>
      </c>
      <c r="H806" s="1">
        <v>257.0</v>
      </c>
      <c r="I806" s="7">
        <f>IFERROR(__xludf.DUMMYFUNCTION("SPLIT(B806,""T""""Z"")"),43025.0)</f>
        <v>43025</v>
      </c>
      <c r="J806" s="8">
        <f>IFERROR(__xludf.DUMMYFUNCTION("""COMPUTED_VALUE"""),0.6390972222222222)</f>
        <v>0.6390972222</v>
      </c>
      <c r="K806" s="9">
        <f t="shared" si="1"/>
        <v>4</v>
      </c>
      <c r="L806" s="7">
        <f>IFERROR(__xludf.DUMMYFUNCTION("SPLIT(C806,""T""""Z"")"),44798.0)</f>
        <v>44798</v>
      </c>
      <c r="M806" s="8">
        <f>IFERROR(__xludf.DUMMYFUNCTION("""COMPUTED_VALUE"""),0.5712037037037037)</f>
        <v>0.5712037037</v>
      </c>
      <c r="N806" s="10">
        <f t="shared" si="2"/>
        <v>133.7088889</v>
      </c>
      <c r="O806" s="11">
        <f t="shared" si="3"/>
        <v>0.7603550296</v>
      </c>
    </row>
    <row r="807">
      <c r="A807" s="1" t="s">
        <v>2440</v>
      </c>
      <c r="B807" s="1" t="s">
        <v>2441</v>
      </c>
      <c r="C807" s="1" t="s">
        <v>2442</v>
      </c>
      <c r="D807" s="1">
        <v>0.0</v>
      </c>
      <c r="E807" s="1" t="s">
        <v>48</v>
      </c>
      <c r="F807" s="1">
        <v>51.0</v>
      </c>
      <c r="G807" s="1">
        <v>718.0</v>
      </c>
      <c r="H807" s="1">
        <v>405.0</v>
      </c>
      <c r="I807" s="7">
        <f>IFERROR(__xludf.DUMMYFUNCTION("SPLIT(B807,""T""""Z"")"),40824.0)</f>
        <v>40824</v>
      </c>
      <c r="J807" s="8">
        <f>IFERROR(__xludf.DUMMYFUNCTION("""COMPUTED_VALUE"""),0.9434259259259259)</f>
        <v>0.9434259259</v>
      </c>
      <c r="K807" s="9">
        <f t="shared" si="1"/>
        <v>10</v>
      </c>
      <c r="L807" s="7">
        <f>IFERROR(__xludf.DUMMYFUNCTION("SPLIT(C807,""T""""Z"")"),44797.0)</f>
        <v>44797</v>
      </c>
      <c r="M807" s="8">
        <f>IFERROR(__xludf.DUMMYFUNCTION("""COMPUTED_VALUE"""),0.5371412037037037)</f>
        <v>0.5371412037</v>
      </c>
      <c r="N807" s="10">
        <f t="shared" si="2"/>
        <v>156.8913889</v>
      </c>
      <c r="O807" s="11">
        <f t="shared" si="3"/>
        <v>0.5640668524</v>
      </c>
    </row>
    <row r="808">
      <c r="A808" s="1" t="s">
        <v>2443</v>
      </c>
      <c r="B808" s="1" t="s">
        <v>2444</v>
      </c>
      <c r="C808" s="1" t="s">
        <v>2445</v>
      </c>
      <c r="D808" s="1">
        <v>0.0</v>
      </c>
      <c r="E808" s="1" t="s">
        <v>88</v>
      </c>
      <c r="F808" s="1">
        <v>254.0</v>
      </c>
      <c r="G808" s="1">
        <v>133.0</v>
      </c>
      <c r="H808" s="1">
        <v>83.0</v>
      </c>
      <c r="I808" s="7">
        <f>IFERROR(__xludf.DUMMYFUNCTION("SPLIT(B808,""T""""Z"")"),41622.0)</f>
        <v>41622</v>
      </c>
      <c r="J808" s="8">
        <f>IFERROR(__xludf.DUMMYFUNCTION("""COMPUTED_VALUE"""),0.4167361111111111)</f>
        <v>0.4167361111</v>
      </c>
      <c r="K808" s="9">
        <f t="shared" si="1"/>
        <v>8</v>
      </c>
      <c r="L808" s="7">
        <f>IFERROR(__xludf.DUMMYFUNCTION("SPLIT(C808,""T""""Z"")"),44798.0)</f>
        <v>44798</v>
      </c>
      <c r="M808" s="8">
        <f>IFERROR(__xludf.DUMMYFUNCTION("""COMPUTED_VALUE"""),0.2785416666666667)</f>
        <v>0.2785416667</v>
      </c>
      <c r="N808" s="10">
        <f t="shared" si="2"/>
        <v>126.685</v>
      </c>
      <c r="O808" s="11">
        <f t="shared" si="3"/>
        <v>0.6240601504</v>
      </c>
    </row>
    <row r="809">
      <c r="A809" s="1" t="s">
        <v>2446</v>
      </c>
      <c r="B809" s="1" t="s">
        <v>2447</v>
      </c>
      <c r="C809" s="1" t="s">
        <v>2448</v>
      </c>
      <c r="D809" s="1">
        <v>0.0</v>
      </c>
      <c r="E809" s="13" t="s">
        <v>22</v>
      </c>
      <c r="F809" s="1">
        <v>94.0</v>
      </c>
      <c r="G809" s="1">
        <v>70.0</v>
      </c>
      <c r="H809" s="1">
        <v>62.0</v>
      </c>
      <c r="I809" s="7">
        <f>IFERROR(__xludf.DUMMYFUNCTION("SPLIT(B809,""T""""Z"")"),44167.0)</f>
        <v>44167</v>
      </c>
      <c r="J809" s="8">
        <f>IFERROR(__xludf.DUMMYFUNCTION("""COMPUTED_VALUE"""),0.46546296296296297)</f>
        <v>0.465462963</v>
      </c>
      <c r="K809" s="9">
        <f t="shared" si="1"/>
        <v>1</v>
      </c>
      <c r="L809" s="7">
        <f>IFERROR(__xludf.DUMMYFUNCTION("SPLIT(C809,""T""""Z"")"),44798.0)</f>
        <v>44798</v>
      </c>
      <c r="M809" s="8">
        <f>IFERROR(__xludf.DUMMYFUNCTION("""COMPUTED_VALUE"""),0.43194444444444446)</f>
        <v>0.4319444444</v>
      </c>
      <c r="N809" s="12">
        <f t="shared" si="2"/>
        <v>130.3666667</v>
      </c>
      <c r="O809" s="11">
        <f t="shared" si="3"/>
        <v>0.8857142857</v>
      </c>
    </row>
    <row r="810">
      <c r="A810" s="1" t="s">
        <v>2449</v>
      </c>
      <c r="B810" s="1" t="s">
        <v>2450</v>
      </c>
      <c r="C810" s="1" t="s">
        <v>2451</v>
      </c>
      <c r="D810" s="1">
        <v>187.0</v>
      </c>
      <c r="E810" s="1" t="s">
        <v>48</v>
      </c>
      <c r="F810" s="1">
        <v>266.0</v>
      </c>
      <c r="G810" s="1">
        <v>1122.0</v>
      </c>
      <c r="H810" s="1">
        <v>1089.0</v>
      </c>
      <c r="I810" s="7">
        <f>IFERROR(__xludf.DUMMYFUNCTION("SPLIT(B810,""T""""Z"")"),41347.0)</f>
        <v>41347</v>
      </c>
      <c r="J810" s="8">
        <f>IFERROR(__xludf.DUMMYFUNCTION("""COMPUTED_VALUE"""),0.2117013888888889)</f>
        <v>0.2117013889</v>
      </c>
      <c r="K810" s="9">
        <f t="shared" si="1"/>
        <v>9</v>
      </c>
      <c r="L810" s="7">
        <f>IFERROR(__xludf.DUMMYFUNCTION("SPLIT(C810,""T""""Z"")"),44798.0)</f>
        <v>44798</v>
      </c>
      <c r="M810" s="8">
        <f>IFERROR(__xludf.DUMMYFUNCTION("""COMPUTED_VALUE"""),0.5266203703703703)</f>
        <v>0.5266203704</v>
      </c>
      <c r="N810" s="10">
        <f t="shared" si="2"/>
        <v>132.6388889</v>
      </c>
      <c r="O810" s="11">
        <f t="shared" si="3"/>
        <v>0.9705882353</v>
      </c>
    </row>
    <row r="811">
      <c r="A811" s="1" t="s">
        <v>2452</v>
      </c>
      <c r="B811" s="1" t="s">
        <v>2453</v>
      </c>
      <c r="C811" s="1" t="s">
        <v>2454</v>
      </c>
      <c r="D811" s="1">
        <v>35.0</v>
      </c>
      <c r="E811" s="1" t="s">
        <v>38</v>
      </c>
      <c r="F811" s="1">
        <v>171.0</v>
      </c>
      <c r="G811" s="1">
        <v>569.0</v>
      </c>
      <c r="H811" s="1">
        <v>513.0</v>
      </c>
      <c r="I811" s="7">
        <f>IFERROR(__xludf.DUMMYFUNCTION("SPLIT(B811,""T""""Z"")"),43498.0)</f>
        <v>43498</v>
      </c>
      <c r="J811" s="8">
        <f>IFERROR(__xludf.DUMMYFUNCTION("""COMPUTED_VALUE"""),0.24388888888888888)</f>
        <v>0.2438888889</v>
      </c>
      <c r="K811" s="9">
        <f t="shared" si="1"/>
        <v>3</v>
      </c>
      <c r="L811" s="7">
        <f>IFERROR(__xludf.DUMMYFUNCTION("SPLIT(C811,""T""""Z"")"),44798.0)</f>
        <v>44798</v>
      </c>
      <c r="M811" s="8">
        <f>IFERROR(__xludf.DUMMYFUNCTION("""COMPUTED_VALUE"""),0.49975694444444446)</f>
        <v>0.4997569444</v>
      </c>
      <c r="N811" s="10">
        <f t="shared" si="2"/>
        <v>131.9941667</v>
      </c>
      <c r="O811" s="11">
        <f t="shared" si="3"/>
        <v>0.9015817223</v>
      </c>
    </row>
    <row r="812">
      <c r="A812" s="1" t="s">
        <v>2455</v>
      </c>
      <c r="B812" s="1" t="s">
        <v>2456</v>
      </c>
      <c r="C812" s="1" t="s">
        <v>2457</v>
      </c>
      <c r="D812" s="1">
        <v>167.0</v>
      </c>
      <c r="E812" s="1" t="s">
        <v>686</v>
      </c>
      <c r="F812" s="1">
        <v>555.0</v>
      </c>
      <c r="G812" s="1">
        <v>1228.0</v>
      </c>
      <c r="H812" s="1">
        <v>1150.0</v>
      </c>
      <c r="I812" s="7">
        <f>IFERROR(__xludf.DUMMYFUNCTION("SPLIT(B812,""T""""Z"")"),42100.0)</f>
        <v>42100</v>
      </c>
      <c r="J812" s="8">
        <f>IFERROR(__xludf.DUMMYFUNCTION("""COMPUTED_VALUE"""),0.6016319444444445)</f>
        <v>0.6016319444</v>
      </c>
      <c r="K812" s="9">
        <f t="shared" si="1"/>
        <v>7</v>
      </c>
      <c r="L812" s="7">
        <f>IFERROR(__xludf.DUMMYFUNCTION("SPLIT(C812,""T""""Z"")"),44798.0)</f>
        <v>44798</v>
      </c>
      <c r="M812" s="8">
        <f>IFERROR(__xludf.DUMMYFUNCTION("""COMPUTED_VALUE"""),0.5997685185185185)</f>
        <v>0.5997685185</v>
      </c>
      <c r="N812" s="10">
        <f t="shared" si="2"/>
        <v>134.3944444</v>
      </c>
      <c r="O812" s="11">
        <f t="shared" si="3"/>
        <v>0.9364820847</v>
      </c>
    </row>
    <row r="813">
      <c r="A813" s="1" t="s">
        <v>2458</v>
      </c>
      <c r="B813" s="1" t="s">
        <v>2459</v>
      </c>
      <c r="C813" s="1" t="s">
        <v>2460</v>
      </c>
      <c r="D813" s="1">
        <v>57.0</v>
      </c>
      <c r="E813" s="1" t="s">
        <v>48</v>
      </c>
      <c r="F813" s="1">
        <v>500.0</v>
      </c>
      <c r="G813" s="1">
        <v>1347.0</v>
      </c>
      <c r="H813" s="1">
        <v>699.0</v>
      </c>
      <c r="I813" s="7">
        <f>IFERROR(__xludf.DUMMYFUNCTION("SPLIT(B813,""T""""Z"")"),44380.0)</f>
        <v>44380</v>
      </c>
      <c r="J813" s="8">
        <f>IFERROR(__xludf.DUMMYFUNCTION("""COMPUTED_VALUE"""),0.043541666666666666)</f>
        <v>0.04354166667</v>
      </c>
      <c r="K813" s="9">
        <f t="shared" si="1"/>
        <v>1</v>
      </c>
      <c r="L813" s="7">
        <f>IFERROR(__xludf.DUMMYFUNCTION("SPLIT(C813,""T""""Z"")"),44798.0)</f>
        <v>44798</v>
      </c>
      <c r="M813" s="8">
        <f>IFERROR(__xludf.DUMMYFUNCTION("""COMPUTED_VALUE"""),0.590787037037037)</f>
        <v>0.590787037</v>
      </c>
      <c r="N813" s="10">
        <f t="shared" si="2"/>
        <v>134.1788889</v>
      </c>
      <c r="O813" s="11">
        <f t="shared" si="3"/>
        <v>0.5189309577</v>
      </c>
    </row>
    <row r="814">
      <c r="A814" s="1" t="s">
        <v>2461</v>
      </c>
      <c r="B814" s="1" t="s">
        <v>2462</v>
      </c>
      <c r="C814" s="1" t="s">
        <v>2463</v>
      </c>
      <c r="D814" s="1">
        <v>42.0</v>
      </c>
      <c r="E814" s="1" t="s">
        <v>38</v>
      </c>
      <c r="F814" s="1">
        <v>2128.0</v>
      </c>
      <c r="G814" s="1">
        <v>2630.0</v>
      </c>
      <c r="H814" s="1">
        <v>2023.0</v>
      </c>
      <c r="I814" s="7">
        <f>IFERROR(__xludf.DUMMYFUNCTION("SPLIT(B814,""T""""Z"")"),43701.0)</f>
        <v>43701</v>
      </c>
      <c r="J814" s="8">
        <f>IFERROR(__xludf.DUMMYFUNCTION("""COMPUTED_VALUE"""),0.010324074074074074)</f>
        <v>0.01032407407</v>
      </c>
      <c r="K814" s="9">
        <f t="shared" si="1"/>
        <v>3</v>
      </c>
      <c r="L814" s="7">
        <f>IFERROR(__xludf.DUMMYFUNCTION("SPLIT(C814,""T""""Z"")"),44798.0)</f>
        <v>44798</v>
      </c>
      <c r="M814" s="8">
        <f>IFERROR(__xludf.DUMMYFUNCTION("""COMPUTED_VALUE"""),0.5576041666666667)</f>
        <v>0.5576041667</v>
      </c>
      <c r="N814" s="10">
        <f t="shared" si="2"/>
        <v>133.3825</v>
      </c>
      <c r="O814" s="11">
        <f t="shared" si="3"/>
        <v>0.7692015209</v>
      </c>
    </row>
    <row r="815">
      <c r="A815" s="1" t="s">
        <v>2464</v>
      </c>
      <c r="B815" s="1" t="s">
        <v>2465</v>
      </c>
      <c r="C815" s="1" t="s">
        <v>2466</v>
      </c>
      <c r="D815" s="1">
        <v>0.0</v>
      </c>
      <c r="E815" s="1" t="s">
        <v>48</v>
      </c>
      <c r="F815" s="1">
        <v>138.0</v>
      </c>
      <c r="G815" s="1">
        <v>33.0</v>
      </c>
      <c r="H815" s="1">
        <v>17.0</v>
      </c>
      <c r="I815" s="7">
        <f>IFERROR(__xludf.DUMMYFUNCTION("SPLIT(B815,""T""""Z"")"),42200.0)</f>
        <v>42200</v>
      </c>
      <c r="J815" s="8">
        <f>IFERROR(__xludf.DUMMYFUNCTION("""COMPUTED_VALUE"""),0.3088888888888889)</f>
        <v>0.3088888889</v>
      </c>
      <c r="K815" s="9">
        <f t="shared" si="1"/>
        <v>7</v>
      </c>
      <c r="L815" s="7">
        <f>IFERROR(__xludf.DUMMYFUNCTION("SPLIT(C815,""T""""Z"")"),44798.0)</f>
        <v>44798</v>
      </c>
      <c r="M815" s="8">
        <f>IFERROR(__xludf.DUMMYFUNCTION("""COMPUTED_VALUE"""),0.4538425925925926)</f>
        <v>0.4538425926</v>
      </c>
      <c r="N815" s="10">
        <f t="shared" si="2"/>
        <v>130.8922222</v>
      </c>
      <c r="O815" s="11">
        <f t="shared" si="3"/>
        <v>0.5151515152</v>
      </c>
    </row>
    <row r="816">
      <c r="A816" s="1" t="s">
        <v>2467</v>
      </c>
      <c r="B816" s="1" t="s">
        <v>2468</v>
      </c>
      <c r="C816" s="1" t="s">
        <v>2469</v>
      </c>
      <c r="D816" s="1">
        <v>19.0</v>
      </c>
      <c r="E816" s="1" t="s">
        <v>48</v>
      </c>
      <c r="F816" s="1">
        <v>64.0</v>
      </c>
      <c r="G816" s="1">
        <v>1687.0</v>
      </c>
      <c r="H816" s="1">
        <v>1264.0</v>
      </c>
      <c r="I816" s="7">
        <f>IFERROR(__xludf.DUMMYFUNCTION("SPLIT(B816,""T""""Z"")"),43166.0)</f>
        <v>43166</v>
      </c>
      <c r="J816" s="8">
        <f>IFERROR(__xludf.DUMMYFUNCTION("""COMPUTED_VALUE"""),0.13153935185185187)</f>
        <v>0.1315393519</v>
      </c>
      <c r="K816" s="9">
        <f t="shared" si="1"/>
        <v>4</v>
      </c>
      <c r="L816" s="7">
        <f>IFERROR(__xludf.DUMMYFUNCTION("SPLIT(C816,""T""""Z"")"),44798.0)</f>
        <v>44798</v>
      </c>
      <c r="M816" s="8">
        <f>IFERROR(__xludf.DUMMYFUNCTION("""COMPUTED_VALUE"""),0.274537037037037)</f>
        <v>0.274537037</v>
      </c>
      <c r="N816" s="10">
        <f t="shared" si="2"/>
        <v>126.5888889</v>
      </c>
      <c r="O816" s="11">
        <f t="shared" si="3"/>
        <v>0.7492590397</v>
      </c>
    </row>
    <row r="817">
      <c r="A817" s="1" t="s">
        <v>2470</v>
      </c>
      <c r="B817" s="1" t="s">
        <v>2471</v>
      </c>
      <c r="C817" s="1" t="s">
        <v>2472</v>
      </c>
      <c r="D817" s="1">
        <v>57.0</v>
      </c>
      <c r="E817" s="1" t="s">
        <v>161</v>
      </c>
      <c r="F817" s="1">
        <v>3332.0</v>
      </c>
      <c r="G817" s="1">
        <v>2663.0</v>
      </c>
      <c r="H817" s="1">
        <v>2250.0</v>
      </c>
      <c r="I817" s="7">
        <f>IFERROR(__xludf.DUMMYFUNCTION("SPLIT(B817,""T""""Z"")"),43595.0)</f>
        <v>43595</v>
      </c>
      <c r="J817" s="8">
        <f>IFERROR(__xludf.DUMMYFUNCTION("""COMPUTED_VALUE"""),0.708125)</f>
        <v>0.708125</v>
      </c>
      <c r="K817" s="9">
        <f t="shared" si="1"/>
        <v>3</v>
      </c>
      <c r="L817" s="7">
        <f>IFERROR(__xludf.DUMMYFUNCTION("SPLIT(C817,""T""""Z"")"),44798.0)</f>
        <v>44798</v>
      </c>
      <c r="M817" s="8">
        <f>IFERROR(__xludf.DUMMYFUNCTION("""COMPUTED_VALUE"""),0.606087962962963)</f>
        <v>0.606087963</v>
      </c>
      <c r="N817" s="10">
        <f t="shared" si="2"/>
        <v>134.5461111</v>
      </c>
      <c r="O817" s="11">
        <f t="shared" si="3"/>
        <v>0.8449117537</v>
      </c>
    </row>
    <row r="818">
      <c r="A818" s="1" t="s">
        <v>2473</v>
      </c>
      <c r="B818" s="1" t="s">
        <v>2474</v>
      </c>
      <c r="C818" s="1" t="s">
        <v>2475</v>
      </c>
      <c r="D818" s="1">
        <v>9.0</v>
      </c>
      <c r="E818" s="1" t="s">
        <v>95</v>
      </c>
      <c r="F818" s="1">
        <v>2440.0</v>
      </c>
      <c r="G818" s="1">
        <v>3521.0</v>
      </c>
      <c r="H818" s="1">
        <v>3341.0</v>
      </c>
      <c r="I818" s="7">
        <f>IFERROR(__xludf.DUMMYFUNCTION("SPLIT(B818,""T""""Z"")"),41131.0)</f>
        <v>41131</v>
      </c>
      <c r="J818" s="8">
        <f>IFERROR(__xludf.DUMMYFUNCTION("""COMPUTED_VALUE"""),0.8157175925925926)</f>
        <v>0.8157175926</v>
      </c>
      <c r="K818" s="9">
        <f t="shared" si="1"/>
        <v>10</v>
      </c>
      <c r="L818" s="7">
        <f>IFERROR(__xludf.DUMMYFUNCTION("SPLIT(C818,""T""""Z"")"),44798.0)</f>
        <v>44798</v>
      </c>
      <c r="M818" s="8">
        <f>IFERROR(__xludf.DUMMYFUNCTION("""COMPUTED_VALUE"""),0.5447453703703704)</f>
        <v>0.5447453704</v>
      </c>
      <c r="N818" s="10">
        <f t="shared" si="2"/>
        <v>133.0738889</v>
      </c>
      <c r="O818" s="11">
        <f t="shared" si="3"/>
        <v>0.9488781596</v>
      </c>
    </row>
    <row r="819">
      <c r="A819" s="1" t="s">
        <v>2476</v>
      </c>
      <c r="B819" s="1" t="s">
        <v>2477</v>
      </c>
      <c r="C819" s="1" t="s">
        <v>2478</v>
      </c>
      <c r="D819" s="1">
        <v>248.0</v>
      </c>
      <c r="E819" s="1" t="s">
        <v>18</v>
      </c>
      <c r="F819" s="1">
        <v>3536.0</v>
      </c>
      <c r="G819" s="1">
        <v>3829.0</v>
      </c>
      <c r="H819" s="1">
        <v>3731.0</v>
      </c>
      <c r="I819" s="7">
        <f>IFERROR(__xludf.DUMMYFUNCTION("SPLIT(B819,""T""""Z"")"),42564.0)</f>
        <v>42564</v>
      </c>
      <c r="J819" s="8">
        <f>IFERROR(__xludf.DUMMYFUNCTION("""COMPUTED_VALUE"""),0.3325694444444444)</f>
        <v>0.3325694444</v>
      </c>
      <c r="K819" s="9">
        <f t="shared" si="1"/>
        <v>6</v>
      </c>
      <c r="L819" s="7">
        <f>IFERROR(__xludf.DUMMYFUNCTION("SPLIT(C819,""T""""Z"")"),44798.0)</f>
        <v>44798</v>
      </c>
      <c r="M819" s="8">
        <f>IFERROR(__xludf.DUMMYFUNCTION("""COMPUTED_VALUE"""),0.5734143518518519)</f>
        <v>0.5734143519</v>
      </c>
      <c r="N819" s="10">
        <f t="shared" si="2"/>
        <v>133.7619444</v>
      </c>
      <c r="O819" s="11">
        <f t="shared" si="3"/>
        <v>0.9744058501</v>
      </c>
    </row>
    <row r="820">
      <c r="A820" s="1" t="s">
        <v>2479</v>
      </c>
      <c r="B820" s="1" t="s">
        <v>2480</v>
      </c>
      <c r="C820" s="1" t="s">
        <v>902</v>
      </c>
      <c r="D820" s="1">
        <v>19.0</v>
      </c>
      <c r="E820" s="1" t="s">
        <v>124</v>
      </c>
      <c r="F820" s="1">
        <v>249.0</v>
      </c>
      <c r="G820" s="1">
        <v>743.0</v>
      </c>
      <c r="H820" s="1">
        <v>396.0</v>
      </c>
      <c r="I820" s="7">
        <f>IFERROR(__xludf.DUMMYFUNCTION("SPLIT(B820,""T""""Z"")"),41731.0)</f>
        <v>41731</v>
      </c>
      <c r="J820" s="8">
        <f>IFERROR(__xludf.DUMMYFUNCTION("""COMPUTED_VALUE"""),0.6066319444444445)</f>
        <v>0.6066319444</v>
      </c>
      <c r="K820" s="9">
        <f t="shared" si="1"/>
        <v>8</v>
      </c>
      <c r="L820" s="7">
        <f>IFERROR(__xludf.DUMMYFUNCTION("SPLIT(C820,""T""""Z"")"),44798.0)</f>
        <v>44798</v>
      </c>
      <c r="M820" s="8">
        <f>IFERROR(__xludf.DUMMYFUNCTION("""COMPUTED_VALUE"""),0.5632523148148149)</f>
        <v>0.5632523148</v>
      </c>
      <c r="N820" s="10">
        <f t="shared" si="2"/>
        <v>133.5180556</v>
      </c>
      <c r="O820" s="11">
        <f t="shared" si="3"/>
        <v>0.532974428</v>
      </c>
    </row>
    <row r="821">
      <c r="A821" s="1" t="s">
        <v>2481</v>
      </c>
      <c r="B821" s="1" t="s">
        <v>2482</v>
      </c>
      <c r="C821" s="1" t="s">
        <v>2483</v>
      </c>
      <c r="D821" s="1">
        <v>34.0</v>
      </c>
      <c r="E821" s="1" t="s">
        <v>48</v>
      </c>
      <c r="F821" s="1">
        <v>1289.0</v>
      </c>
      <c r="G821" s="1">
        <v>1844.0</v>
      </c>
      <c r="H821" s="1">
        <v>1791.0</v>
      </c>
      <c r="I821" s="7">
        <f>IFERROR(__xludf.DUMMYFUNCTION("SPLIT(B821,""T""""Z"")"),40544.0)</f>
        <v>40544</v>
      </c>
      <c r="J821" s="8">
        <f>IFERROR(__xludf.DUMMYFUNCTION("""COMPUTED_VALUE"""),0.9912152777777777)</f>
        <v>0.9912152778</v>
      </c>
      <c r="K821" s="9">
        <f t="shared" si="1"/>
        <v>11</v>
      </c>
      <c r="L821" s="7">
        <f>IFERROR(__xludf.DUMMYFUNCTION("SPLIT(C821,""T""""Z"")"),44798.0)</f>
        <v>44798</v>
      </c>
      <c r="M821" s="8">
        <f>IFERROR(__xludf.DUMMYFUNCTION("""COMPUTED_VALUE"""),0.32622685185185185)</f>
        <v>0.3262268519</v>
      </c>
      <c r="N821" s="10">
        <f t="shared" si="2"/>
        <v>127.8294444</v>
      </c>
      <c r="O821" s="11">
        <f t="shared" si="3"/>
        <v>0.9712581345</v>
      </c>
    </row>
    <row r="822">
      <c r="A822" s="1" t="s">
        <v>2484</v>
      </c>
      <c r="B822" s="1" t="s">
        <v>2485</v>
      </c>
      <c r="C822" s="1" t="s">
        <v>2486</v>
      </c>
      <c r="D822" s="1">
        <v>2.0</v>
      </c>
      <c r="E822" s="1" t="s">
        <v>38</v>
      </c>
      <c r="F822" s="1">
        <v>46.0</v>
      </c>
      <c r="G822" s="1">
        <v>681.0</v>
      </c>
      <c r="H822" s="1">
        <v>538.0</v>
      </c>
      <c r="I822" s="7">
        <f>IFERROR(__xludf.DUMMYFUNCTION("SPLIT(B822,""T""""Z"")"),43734.0)</f>
        <v>43734</v>
      </c>
      <c r="J822" s="8">
        <f>IFERROR(__xludf.DUMMYFUNCTION("""COMPUTED_VALUE"""),0.6533101851851851)</f>
        <v>0.6533101852</v>
      </c>
      <c r="K822" s="9">
        <f t="shared" si="1"/>
        <v>2</v>
      </c>
      <c r="L822" s="7">
        <f>IFERROR(__xludf.DUMMYFUNCTION("SPLIT(C822,""T""""Z"")"),44798.0)</f>
        <v>44798</v>
      </c>
      <c r="M822" s="8">
        <f>IFERROR(__xludf.DUMMYFUNCTION("""COMPUTED_VALUE"""),0.6024652777777778)</f>
        <v>0.6024652778</v>
      </c>
      <c r="N822" s="10">
        <f t="shared" si="2"/>
        <v>134.4591667</v>
      </c>
      <c r="O822" s="11">
        <f t="shared" si="3"/>
        <v>0.7900146843</v>
      </c>
    </row>
    <row r="823">
      <c r="A823" s="1" t="s">
        <v>2487</v>
      </c>
      <c r="B823" s="1" t="s">
        <v>2488</v>
      </c>
      <c r="C823" s="1" t="s">
        <v>2489</v>
      </c>
      <c r="D823" s="1">
        <v>0.0</v>
      </c>
      <c r="E823" s="13" t="s">
        <v>22</v>
      </c>
      <c r="F823" s="1">
        <v>26.0</v>
      </c>
      <c r="G823" s="1">
        <v>12.0</v>
      </c>
      <c r="H823" s="1">
        <v>4.0</v>
      </c>
      <c r="I823" s="7">
        <f>IFERROR(__xludf.DUMMYFUNCTION("SPLIT(B823,""T""""Z"")"),42529.0)</f>
        <v>42529</v>
      </c>
      <c r="J823" s="8">
        <f>IFERROR(__xludf.DUMMYFUNCTION("""COMPUTED_VALUE"""),0.6641782407407407)</f>
        <v>0.6641782407</v>
      </c>
      <c r="K823" s="9">
        <f t="shared" si="1"/>
        <v>6</v>
      </c>
      <c r="L823" s="7">
        <f>IFERROR(__xludf.DUMMYFUNCTION("SPLIT(C823,""T""""Z"")"),44798.0)</f>
        <v>44798</v>
      </c>
      <c r="M823" s="8">
        <f>IFERROR(__xludf.DUMMYFUNCTION("""COMPUTED_VALUE"""),0.2989583333333333)</f>
        <v>0.2989583333</v>
      </c>
      <c r="N823" s="12">
        <f t="shared" si="2"/>
        <v>127.175</v>
      </c>
      <c r="O823" s="11">
        <f t="shared" si="3"/>
        <v>0.3333333333</v>
      </c>
    </row>
    <row r="824">
      <c r="A824" s="1" t="s">
        <v>2490</v>
      </c>
      <c r="B824" s="1" t="s">
        <v>2491</v>
      </c>
      <c r="C824" s="1" t="s">
        <v>2492</v>
      </c>
      <c r="D824" s="1">
        <v>0.0</v>
      </c>
      <c r="E824" s="1" t="s">
        <v>38</v>
      </c>
      <c r="F824" s="1">
        <v>25.0</v>
      </c>
      <c r="G824" s="1">
        <v>223.0</v>
      </c>
      <c r="H824" s="1">
        <v>154.0</v>
      </c>
      <c r="I824" s="7">
        <f>IFERROR(__xludf.DUMMYFUNCTION("SPLIT(B824,""T""""Z"")"),43932.0)</f>
        <v>43932</v>
      </c>
      <c r="J824" s="8">
        <f>IFERROR(__xludf.DUMMYFUNCTION("""COMPUTED_VALUE"""),0.38994212962962965)</f>
        <v>0.3899421296</v>
      </c>
      <c r="K824" s="9">
        <f t="shared" si="1"/>
        <v>2</v>
      </c>
      <c r="L824" s="7">
        <f>IFERROR(__xludf.DUMMYFUNCTION("SPLIT(C824,""T""""Z"")"),44798.0)</f>
        <v>44798</v>
      </c>
      <c r="M824" s="8">
        <f>IFERROR(__xludf.DUMMYFUNCTION("""COMPUTED_VALUE"""),0.5515740740740741)</f>
        <v>0.5515740741</v>
      </c>
      <c r="N824" s="10">
        <f t="shared" si="2"/>
        <v>133.2377778</v>
      </c>
      <c r="O824" s="11">
        <f t="shared" si="3"/>
        <v>0.6905829596</v>
      </c>
    </row>
    <row r="825">
      <c r="A825" s="1" t="s">
        <v>2493</v>
      </c>
      <c r="B825" s="1" t="s">
        <v>2494</v>
      </c>
      <c r="C825" s="1" t="s">
        <v>2495</v>
      </c>
      <c r="D825" s="1">
        <v>4.0</v>
      </c>
      <c r="E825" s="13" t="s">
        <v>22</v>
      </c>
      <c r="F825" s="1">
        <v>45.0</v>
      </c>
      <c r="G825" s="1">
        <v>66.0</v>
      </c>
      <c r="H825" s="1">
        <v>49.0</v>
      </c>
      <c r="I825" s="7">
        <f>IFERROR(__xludf.DUMMYFUNCTION("SPLIT(B825,""T""""Z"")"),43456.0)</f>
        <v>43456</v>
      </c>
      <c r="J825" s="8">
        <f>IFERROR(__xludf.DUMMYFUNCTION("""COMPUTED_VALUE"""),0.21208333333333335)</f>
        <v>0.2120833333</v>
      </c>
      <c r="K825" s="9">
        <f t="shared" si="1"/>
        <v>3</v>
      </c>
      <c r="L825" s="7">
        <f>IFERROR(__xludf.DUMMYFUNCTION("SPLIT(C825,""T""""Z"")"),44798.0)</f>
        <v>44798</v>
      </c>
      <c r="M825" s="8">
        <f>IFERROR(__xludf.DUMMYFUNCTION("""COMPUTED_VALUE"""),0.5249537037037038)</f>
        <v>0.5249537037</v>
      </c>
      <c r="N825" s="12">
        <f t="shared" si="2"/>
        <v>132.5988889</v>
      </c>
      <c r="O825" s="11">
        <f t="shared" si="3"/>
        <v>0.7424242424</v>
      </c>
    </row>
    <row r="826">
      <c r="A826" s="1" t="s">
        <v>2496</v>
      </c>
      <c r="B826" s="1" t="s">
        <v>2497</v>
      </c>
      <c r="C826" s="1" t="s">
        <v>2498</v>
      </c>
      <c r="D826" s="1">
        <v>90.0</v>
      </c>
      <c r="E826" s="1" t="s">
        <v>52</v>
      </c>
      <c r="F826" s="1">
        <v>12293.0</v>
      </c>
      <c r="G826" s="1">
        <v>7831.0</v>
      </c>
      <c r="H826" s="1">
        <v>6610.0</v>
      </c>
      <c r="I826" s="7">
        <f>IFERROR(__xludf.DUMMYFUNCTION("SPLIT(B826,""T""""Z"")"),42590.0)</f>
        <v>42590</v>
      </c>
      <c r="J826" s="8">
        <f>IFERROR(__xludf.DUMMYFUNCTION("""COMPUTED_VALUE"""),0.6301388888888889)</f>
        <v>0.6301388889</v>
      </c>
      <c r="K826" s="9">
        <f t="shared" si="1"/>
        <v>6</v>
      </c>
      <c r="L826" s="7">
        <f>IFERROR(__xludf.DUMMYFUNCTION("SPLIT(C826,""T""""Z"")"),44798.0)</f>
        <v>44798</v>
      </c>
      <c r="M826" s="8">
        <f>IFERROR(__xludf.DUMMYFUNCTION("""COMPUTED_VALUE"""),0.09392361111111111)</f>
        <v>0.09392361111</v>
      </c>
      <c r="N826" s="10">
        <f t="shared" si="2"/>
        <v>122.2541667</v>
      </c>
      <c r="O826" s="11">
        <f t="shared" si="3"/>
        <v>0.8440812157</v>
      </c>
    </row>
    <row r="827">
      <c r="A827" s="1" t="s">
        <v>2499</v>
      </c>
      <c r="B827" s="1" t="s">
        <v>2500</v>
      </c>
      <c r="C827" s="1" t="s">
        <v>2501</v>
      </c>
      <c r="D827" s="1">
        <v>3.0</v>
      </c>
      <c r="E827" s="1" t="s">
        <v>2502</v>
      </c>
      <c r="F827" s="1">
        <v>435.0</v>
      </c>
      <c r="G827" s="1">
        <v>350.0</v>
      </c>
      <c r="H827" s="1">
        <v>295.0</v>
      </c>
      <c r="I827" s="7">
        <f>IFERROR(__xludf.DUMMYFUNCTION("SPLIT(B827,""T""""Z"")"),41497.0)</f>
        <v>41497</v>
      </c>
      <c r="J827" s="8">
        <f>IFERROR(__xludf.DUMMYFUNCTION("""COMPUTED_VALUE"""),0.9711574074074074)</f>
        <v>0.9711574074</v>
      </c>
      <c r="K827" s="9">
        <f t="shared" si="1"/>
        <v>9</v>
      </c>
      <c r="L827" s="7">
        <f>IFERROR(__xludf.DUMMYFUNCTION("SPLIT(C827,""T""""Z"")"),44798.0)</f>
        <v>44798</v>
      </c>
      <c r="M827" s="8">
        <f>IFERROR(__xludf.DUMMYFUNCTION("""COMPUTED_VALUE"""),0.4088773148148148)</f>
        <v>0.4088773148</v>
      </c>
      <c r="N827" s="10">
        <f t="shared" si="2"/>
        <v>129.8130556</v>
      </c>
      <c r="O827" s="11">
        <f t="shared" si="3"/>
        <v>0.8428571429</v>
      </c>
    </row>
    <row r="828">
      <c r="A828" s="1" t="s">
        <v>2503</v>
      </c>
      <c r="B828" s="1" t="s">
        <v>2504</v>
      </c>
      <c r="C828" s="1" t="s">
        <v>2505</v>
      </c>
      <c r="D828" s="1">
        <v>1.0</v>
      </c>
      <c r="E828" s="1" t="s">
        <v>48</v>
      </c>
      <c r="F828" s="1">
        <v>164.0</v>
      </c>
      <c r="G828" s="1">
        <v>68.0</v>
      </c>
      <c r="H828" s="1">
        <v>66.0</v>
      </c>
      <c r="I828" s="7">
        <f>IFERROR(__xludf.DUMMYFUNCTION("SPLIT(B828,""T""""Z"")"),42329.0)</f>
        <v>42329</v>
      </c>
      <c r="J828" s="8">
        <f>IFERROR(__xludf.DUMMYFUNCTION("""COMPUTED_VALUE"""),0.6683564814814815)</f>
        <v>0.6683564815</v>
      </c>
      <c r="K828" s="9">
        <f t="shared" si="1"/>
        <v>6</v>
      </c>
      <c r="L828" s="7">
        <f>IFERROR(__xludf.DUMMYFUNCTION("SPLIT(C828,""T""""Z"")"),44798.0)</f>
        <v>44798</v>
      </c>
      <c r="M828" s="8">
        <f>IFERROR(__xludf.DUMMYFUNCTION("""COMPUTED_VALUE"""),0.22144675925925925)</f>
        <v>0.2214467593</v>
      </c>
      <c r="N828" s="10">
        <f t="shared" si="2"/>
        <v>125.3147222</v>
      </c>
      <c r="O828" s="11">
        <f t="shared" si="3"/>
        <v>0.9705882353</v>
      </c>
    </row>
    <row r="829">
      <c r="A829" s="1" t="s">
        <v>2506</v>
      </c>
      <c r="B829" s="1" t="s">
        <v>2507</v>
      </c>
      <c r="C829" s="1" t="s">
        <v>2508</v>
      </c>
      <c r="D829" s="1">
        <v>0.0</v>
      </c>
      <c r="E829" s="1" t="s">
        <v>48</v>
      </c>
      <c r="F829" s="1">
        <v>359.0</v>
      </c>
      <c r="G829" s="1">
        <v>544.0</v>
      </c>
      <c r="H829" s="1">
        <v>544.0</v>
      </c>
      <c r="I829" s="7">
        <f>IFERROR(__xludf.DUMMYFUNCTION("SPLIT(B829,""T""""Z"")"),41749.0)</f>
        <v>41749</v>
      </c>
      <c r="J829" s="8">
        <f>IFERROR(__xludf.DUMMYFUNCTION("""COMPUTED_VALUE"""),0.5461574074074074)</f>
        <v>0.5461574074</v>
      </c>
      <c r="K829" s="9">
        <f t="shared" si="1"/>
        <v>8</v>
      </c>
      <c r="L829" s="7">
        <f>IFERROR(__xludf.DUMMYFUNCTION("SPLIT(C829,""T""""Z"")"),44797.0)</f>
        <v>44797</v>
      </c>
      <c r="M829" s="8">
        <f>IFERROR(__xludf.DUMMYFUNCTION("""COMPUTED_VALUE"""),0.6773611111111111)</f>
        <v>0.6773611111</v>
      </c>
      <c r="N829" s="10">
        <f t="shared" si="2"/>
        <v>160.2566667</v>
      </c>
      <c r="O829" s="11">
        <f t="shared" si="3"/>
        <v>1</v>
      </c>
    </row>
    <row r="830">
      <c r="A830" s="1" t="s">
        <v>2509</v>
      </c>
      <c r="B830" s="1" t="s">
        <v>2510</v>
      </c>
      <c r="C830" s="1" t="s">
        <v>2511</v>
      </c>
      <c r="D830" s="1">
        <v>87.0</v>
      </c>
      <c r="E830" s="1" t="s">
        <v>48</v>
      </c>
      <c r="F830" s="1">
        <v>5.0</v>
      </c>
      <c r="G830" s="1">
        <v>894.0</v>
      </c>
      <c r="H830" s="1">
        <v>744.0</v>
      </c>
      <c r="I830" s="7">
        <f>IFERROR(__xludf.DUMMYFUNCTION("SPLIT(B830,""T""""Z"")"),43691.0)</f>
        <v>43691</v>
      </c>
      <c r="J830" s="8">
        <f>IFERROR(__xludf.DUMMYFUNCTION("""COMPUTED_VALUE"""),0.6049537037037037)</f>
        <v>0.6049537037</v>
      </c>
      <c r="K830" s="9">
        <f t="shared" si="1"/>
        <v>3</v>
      </c>
      <c r="L830" s="7">
        <f>IFERROR(__xludf.DUMMYFUNCTION("SPLIT(C830,""T""""Z"")"),44798.0)</f>
        <v>44798</v>
      </c>
      <c r="M830" s="8">
        <f>IFERROR(__xludf.DUMMYFUNCTION("""COMPUTED_VALUE"""),0.5631481481481482)</f>
        <v>0.5631481481</v>
      </c>
      <c r="N830" s="10">
        <f t="shared" si="2"/>
        <v>133.5155556</v>
      </c>
      <c r="O830" s="11">
        <f t="shared" si="3"/>
        <v>0.8322147651</v>
      </c>
    </row>
    <row r="831">
      <c r="A831" s="1" t="s">
        <v>2512</v>
      </c>
      <c r="B831" s="1" t="s">
        <v>2513</v>
      </c>
      <c r="C831" s="1" t="s">
        <v>2514</v>
      </c>
      <c r="D831" s="1">
        <v>20.0</v>
      </c>
      <c r="E831" s="1" t="s">
        <v>18</v>
      </c>
      <c r="F831" s="1">
        <v>25.0</v>
      </c>
      <c r="G831" s="1">
        <v>1531.0</v>
      </c>
      <c r="H831" s="1">
        <v>891.0</v>
      </c>
      <c r="I831" s="7">
        <f>IFERROR(__xludf.DUMMYFUNCTION("SPLIT(B831,""T""""Z"")"),43456.0)</f>
        <v>43456</v>
      </c>
      <c r="J831" s="8">
        <f>IFERROR(__xludf.DUMMYFUNCTION("""COMPUTED_VALUE"""),0.5814699074074074)</f>
        <v>0.5814699074</v>
      </c>
      <c r="K831" s="9">
        <f t="shared" si="1"/>
        <v>3</v>
      </c>
      <c r="L831" s="7">
        <f>IFERROR(__xludf.DUMMYFUNCTION("SPLIT(C831,""T""""Z"")"),44798.0)</f>
        <v>44798</v>
      </c>
      <c r="M831" s="8">
        <f>IFERROR(__xludf.DUMMYFUNCTION("""COMPUTED_VALUE"""),0.49930555555555556)</f>
        <v>0.4993055556</v>
      </c>
      <c r="N831" s="10">
        <f t="shared" si="2"/>
        <v>131.9833333</v>
      </c>
      <c r="O831" s="11">
        <f t="shared" si="3"/>
        <v>0.5819725669</v>
      </c>
    </row>
    <row r="832">
      <c r="A832" s="1" t="s">
        <v>2515</v>
      </c>
      <c r="B832" s="1" t="s">
        <v>2516</v>
      </c>
      <c r="C832" s="1" t="s">
        <v>2517</v>
      </c>
      <c r="D832" s="1">
        <v>20.0</v>
      </c>
      <c r="E832" s="1" t="s">
        <v>48</v>
      </c>
      <c r="F832" s="1">
        <v>53.0</v>
      </c>
      <c r="G832" s="1">
        <v>1612.0</v>
      </c>
      <c r="H832" s="1">
        <v>1532.0</v>
      </c>
      <c r="I832" s="7">
        <f>IFERROR(__xludf.DUMMYFUNCTION("SPLIT(B832,""T""""Z"")"),42164.0)</f>
        <v>42164</v>
      </c>
      <c r="J832" s="8">
        <f>IFERROR(__xludf.DUMMYFUNCTION("""COMPUTED_VALUE"""),0.8094675925925926)</f>
        <v>0.8094675926</v>
      </c>
      <c r="K832" s="9">
        <f t="shared" si="1"/>
        <v>7</v>
      </c>
      <c r="L832" s="7">
        <f>IFERROR(__xludf.DUMMYFUNCTION("SPLIT(C832,""T""""Z"")"),44798.0)</f>
        <v>44798</v>
      </c>
      <c r="M832" s="8">
        <f>IFERROR(__xludf.DUMMYFUNCTION("""COMPUTED_VALUE"""),0.5450578703703703)</f>
        <v>0.5450578704</v>
      </c>
      <c r="N832" s="10">
        <f t="shared" si="2"/>
        <v>133.0813889</v>
      </c>
      <c r="O832" s="11">
        <f t="shared" si="3"/>
        <v>0.9503722084</v>
      </c>
    </row>
    <row r="833">
      <c r="A833" s="1" t="s">
        <v>2518</v>
      </c>
      <c r="B833" s="1" t="s">
        <v>2519</v>
      </c>
      <c r="C833" s="1" t="s">
        <v>2520</v>
      </c>
      <c r="D833" s="1">
        <v>71.0</v>
      </c>
      <c r="E833" s="1" t="s">
        <v>124</v>
      </c>
      <c r="F833" s="1">
        <v>1089.0</v>
      </c>
      <c r="G833" s="1">
        <v>904.0</v>
      </c>
      <c r="H833" s="1">
        <v>842.0</v>
      </c>
      <c r="I833" s="7">
        <f>IFERROR(__xludf.DUMMYFUNCTION("SPLIT(B833,""T""""Z"")"),44050.0)</f>
        <v>44050</v>
      </c>
      <c r="J833" s="8">
        <f>IFERROR(__xludf.DUMMYFUNCTION("""COMPUTED_VALUE"""),0.6513541666666667)</f>
        <v>0.6513541667</v>
      </c>
      <c r="K833" s="9">
        <f t="shared" si="1"/>
        <v>2</v>
      </c>
      <c r="L833" s="7">
        <f>IFERROR(__xludf.DUMMYFUNCTION("SPLIT(C833,""T""""Z"")"),44798.0)</f>
        <v>44798</v>
      </c>
      <c r="M833" s="8">
        <f>IFERROR(__xludf.DUMMYFUNCTION("""COMPUTED_VALUE"""),0.5784490740740741)</f>
        <v>0.5784490741</v>
      </c>
      <c r="N833" s="10">
        <f t="shared" si="2"/>
        <v>133.8827778</v>
      </c>
      <c r="O833" s="11">
        <f t="shared" si="3"/>
        <v>0.9314159292</v>
      </c>
    </row>
    <row r="834">
      <c r="A834" s="1" t="s">
        <v>2521</v>
      </c>
      <c r="B834" s="1" t="s">
        <v>2522</v>
      </c>
      <c r="C834" s="1" t="s">
        <v>2523</v>
      </c>
      <c r="D834" s="1">
        <v>181.0</v>
      </c>
      <c r="E834" s="1" t="s">
        <v>686</v>
      </c>
      <c r="F834" s="1">
        <v>216.0</v>
      </c>
      <c r="G834" s="1">
        <v>965.0</v>
      </c>
      <c r="H834" s="1">
        <v>918.0</v>
      </c>
      <c r="I834" s="7">
        <f>IFERROR(__xludf.DUMMYFUNCTION("SPLIT(B834,""T""""Z"")"),42303.0)</f>
        <v>42303</v>
      </c>
      <c r="J834" s="8">
        <f>IFERROR(__xludf.DUMMYFUNCTION("""COMPUTED_VALUE"""),0.8899421296296296)</f>
        <v>0.8899421296</v>
      </c>
      <c r="K834" s="9">
        <f t="shared" si="1"/>
        <v>6</v>
      </c>
      <c r="L834" s="7">
        <f>IFERROR(__xludf.DUMMYFUNCTION("SPLIT(C834,""T""""Z"")"),44797.0)</f>
        <v>44797</v>
      </c>
      <c r="M834" s="8">
        <f>IFERROR(__xludf.DUMMYFUNCTION("""COMPUTED_VALUE"""),0.5295138888888888)</f>
        <v>0.5295138889</v>
      </c>
      <c r="N834" s="10">
        <f t="shared" si="2"/>
        <v>156.7083333</v>
      </c>
      <c r="O834" s="11">
        <f t="shared" si="3"/>
        <v>0.9512953368</v>
      </c>
    </row>
    <row r="835">
      <c r="A835" s="1" t="s">
        <v>2524</v>
      </c>
      <c r="B835" s="1" t="s">
        <v>2525</v>
      </c>
      <c r="C835" s="1" t="s">
        <v>2526</v>
      </c>
      <c r="D835" s="1">
        <v>123.0</v>
      </c>
      <c r="E835" s="1" t="s">
        <v>48</v>
      </c>
      <c r="F835" s="1">
        <v>290.0</v>
      </c>
      <c r="G835" s="1">
        <v>1138.0</v>
      </c>
      <c r="H835" s="1">
        <v>1072.0</v>
      </c>
      <c r="I835" s="7">
        <f>IFERROR(__xludf.DUMMYFUNCTION("SPLIT(B835,""T""""Z"")"),41524.0)</f>
        <v>41524</v>
      </c>
      <c r="J835" s="8">
        <f>IFERROR(__xludf.DUMMYFUNCTION("""COMPUTED_VALUE"""),0.8194097222222222)</f>
        <v>0.8194097222</v>
      </c>
      <c r="K835" s="9">
        <f t="shared" si="1"/>
        <v>8</v>
      </c>
      <c r="L835" s="7">
        <f>IFERROR(__xludf.DUMMYFUNCTION("SPLIT(C835,""T""""Z"")"),44798.0)</f>
        <v>44798</v>
      </c>
      <c r="M835" s="8">
        <f>IFERROR(__xludf.DUMMYFUNCTION("""COMPUTED_VALUE"""),0.11329861111111111)</f>
        <v>0.1132986111</v>
      </c>
      <c r="N835" s="10">
        <f t="shared" si="2"/>
        <v>122.7191667</v>
      </c>
      <c r="O835" s="11">
        <f t="shared" si="3"/>
        <v>0.9420035149</v>
      </c>
    </row>
    <row r="836">
      <c r="A836" s="1" t="s">
        <v>2527</v>
      </c>
      <c r="B836" s="1" t="s">
        <v>2528</v>
      </c>
      <c r="C836" s="1" t="s">
        <v>2529</v>
      </c>
      <c r="D836" s="1">
        <v>0.0</v>
      </c>
      <c r="E836" s="13" t="s">
        <v>22</v>
      </c>
      <c r="F836" s="1">
        <v>80.0</v>
      </c>
      <c r="G836" s="1">
        <v>84.0</v>
      </c>
      <c r="H836" s="1">
        <v>61.0</v>
      </c>
      <c r="I836" s="7">
        <f>IFERROR(__xludf.DUMMYFUNCTION("SPLIT(B836,""T""""Z"")"),41849.0)</f>
        <v>41849</v>
      </c>
      <c r="J836" s="8">
        <f>IFERROR(__xludf.DUMMYFUNCTION("""COMPUTED_VALUE"""),0.38175925925925924)</f>
        <v>0.3817592593</v>
      </c>
      <c r="K836" s="9">
        <f t="shared" si="1"/>
        <v>8</v>
      </c>
      <c r="L836" s="7">
        <f>IFERROR(__xludf.DUMMYFUNCTION("SPLIT(C836,""T""""Z"")"),44797.0)</f>
        <v>44797</v>
      </c>
      <c r="M836" s="8">
        <f>IFERROR(__xludf.DUMMYFUNCTION("""COMPUTED_VALUE"""),0.47788194444444443)</f>
        <v>0.4778819444</v>
      </c>
      <c r="N836" s="12">
        <f t="shared" si="2"/>
        <v>155.4691667</v>
      </c>
      <c r="O836" s="11">
        <f t="shared" si="3"/>
        <v>0.7261904762</v>
      </c>
    </row>
    <row r="837">
      <c r="A837" s="1" t="s">
        <v>2530</v>
      </c>
      <c r="B837" s="1" t="s">
        <v>2531</v>
      </c>
      <c r="C837" s="1" t="s">
        <v>2532</v>
      </c>
      <c r="D837" s="1">
        <v>104.0</v>
      </c>
      <c r="E837" s="1" t="s">
        <v>52</v>
      </c>
      <c r="F837" s="1">
        <v>3542.0</v>
      </c>
      <c r="G837" s="1">
        <v>1921.0</v>
      </c>
      <c r="H837" s="1">
        <v>1392.0</v>
      </c>
      <c r="I837" s="7">
        <f>IFERROR(__xludf.DUMMYFUNCTION("SPLIT(B837,""T""""Z"")"),42698.0)</f>
        <v>42698</v>
      </c>
      <c r="J837" s="8">
        <f>IFERROR(__xludf.DUMMYFUNCTION("""COMPUTED_VALUE"""),0.41672453703703705)</f>
        <v>0.416724537</v>
      </c>
      <c r="K837" s="9">
        <f t="shared" si="1"/>
        <v>5</v>
      </c>
      <c r="L837" s="7">
        <f>IFERROR(__xludf.DUMMYFUNCTION("SPLIT(C837,""T""""Z"")"),44798.0)</f>
        <v>44798</v>
      </c>
      <c r="M837" s="8">
        <f>IFERROR(__xludf.DUMMYFUNCTION("""COMPUTED_VALUE"""),0.5256712962962963)</f>
        <v>0.5256712963</v>
      </c>
      <c r="N837" s="10">
        <f t="shared" si="2"/>
        <v>132.6161111</v>
      </c>
      <c r="O837" s="11">
        <f t="shared" si="3"/>
        <v>0.7246225924</v>
      </c>
    </row>
    <row r="838">
      <c r="A838" s="1" t="s">
        <v>2533</v>
      </c>
      <c r="B838" s="1" t="s">
        <v>2534</v>
      </c>
      <c r="C838" s="1" t="s">
        <v>2535</v>
      </c>
      <c r="D838" s="1">
        <v>0.0</v>
      </c>
      <c r="E838" s="1" t="s">
        <v>347</v>
      </c>
      <c r="F838" s="1">
        <v>260.0</v>
      </c>
      <c r="G838" s="1">
        <v>0.0</v>
      </c>
      <c r="H838" s="1">
        <v>0.0</v>
      </c>
      <c r="I838" s="7">
        <f>IFERROR(__xludf.DUMMYFUNCTION("SPLIT(B838,""T""""Z"")"),44754.0)</f>
        <v>44754</v>
      </c>
      <c r="J838" s="8">
        <f>IFERROR(__xludf.DUMMYFUNCTION("""COMPUTED_VALUE"""),0.6898726851851852)</f>
        <v>0.6898726852</v>
      </c>
      <c r="K838" s="9">
        <f t="shared" si="1"/>
        <v>0</v>
      </c>
      <c r="L838" s="7">
        <f>IFERROR(__xludf.DUMMYFUNCTION("SPLIT(C838,""T""""Z"")"),44798.0)</f>
        <v>44798</v>
      </c>
      <c r="M838" s="8">
        <f>IFERROR(__xludf.DUMMYFUNCTION("""COMPUTED_VALUE"""),0.523912037037037)</f>
        <v>0.523912037</v>
      </c>
      <c r="N838" s="10">
        <f t="shared" si="2"/>
        <v>132.5738889</v>
      </c>
      <c r="O838" s="11">
        <f t="shared" si="3"/>
        <v>0</v>
      </c>
    </row>
    <row r="839">
      <c r="A839" s="1" t="s">
        <v>2536</v>
      </c>
      <c r="B839" s="1" t="s">
        <v>2537</v>
      </c>
      <c r="C839" s="1" t="s">
        <v>2538</v>
      </c>
      <c r="D839" s="1">
        <v>182.0</v>
      </c>
      <c r="E839" s="1" t="s">
        <v>18</v>
      </c>
      <c r="F839" s="1">
        <v>4188.0</v>
      </c>
      <c r="G839" s="1">
        <v>6342.0</v>
      </c>
      <c r="H839" s="1">
        <v>6312.0</v>
      </c>
      <c r="I839" s="7">
        <f>IFERROR(__xludf.DUMMYFUNCTION("SPLIT(B839,""T""""Z"")"),42844.0)</f>
        <v>42844</v>
      </c>
      <c r="J839" s="8">
        <f>IFERROR(__xludf.DUMMYFUNCTION("""COMPUTED_VALUE"""),0.3302199074074074)</f>
        <v>0.3302199074</v>
      </c>
      <c r="K839" s="9">
        <f t="shared" si="1"/>
        <v>5</v>
      </c>
      <c r="L839" s="7">
        <f>IFERROR(__xludf.DUMMYFUNCTION("SPLIT(C839,""T""""Z"")"),44798.0)</f>
        <v>44798</v>
      </c>
      <c r="M839" s="8">
        <f>IFERROR(__xludf.DUMMYFUNCTION("""COMPUTED_VALUE"""),0.5864467592592593)</f>
        <v>0.5864467593</v>
      </c>
      <c r="N839" s="10">
        <f t="shared" si="2"/>
        <v>134.0747222</v>
      </c>
      <c r="O839" s="11">
        <f t="shared" si="3"/>
        <v>0.995269631</v>
      </c>
    </row>
    <row r="840">
      <c r="A840" s="1" t="s">
        <v>2539</v>
      </c>
      <c r="B840" s="1" t="s">
        <v>2540</v>
      </c>
      <c r="C840" s="1" t="s">
        <v>2541</v>
      </c>
      <c r="D840" s="1">
        <v>105.0</v>
      </c>
      <c r="E840" s="1" t="s">
        <v>52</v>
      </c>
      <c r="F840" s="1">
        <v>1338.0</v>
      </c>
      <c r="G840" s="1">
        <v>2068.0</v>
      </c>
      <c r="H840" s="1">
        <v>1963.0</v>
      </c>
      <c r="I840" s="7">
        <f>IFERROR(__xludf.DUMMYFUNCTION("SPLIT(B840,""T""""Z"")"),42523.0)</f>
        <v>42523</v>
      </c>
      <c r="J840" s="8">
        <f>IFERROR(__xludf.DUMMYFUNCTION("""COMPUTED_VALUE"""),0.6283912037037037)</f>
        <v>0.6283912037</v>
      </c>
      <c r="K840" s="9">
        <f t="shared" si="1"/>
        <v>6</v>
      </c>
      <c r="L840" s="7">
        <f>IFERROR(__xludf.DUMMYFUNCTION("SPLIT(C840,""T""""Z"")"),44798.0)</f>
        <v>44798</v>
      </c>
      <c r="M840" s="8">
        <f>IFERROR(__xludf.DUMMYFUNCTION("""COMPUTED_VALUE"""),0.4126736111111111)</f>
        <v>0.4126736111</v>
      </c>
      <c r="N840" s="10">
        <f t="shared" si="2"/>
        <v>129.9041667</v>
      </c>
      <c r="O840" s="11">
        <f t="shared" si="3"/>
        <v>0.9492263056</v>
      </c>
    </row>
    <row r="841">
      <c r="A841" s="1" t="s">
        <v>2542</v>
      </c>
      <c r="B841" s="1" t="s">
        <v>2543</v>
      </c>
      <c r="C841" s="1" t="s">
        <v>2544</v>
      </c>
      <c r="D841" s="1">
        <v>52.0</v>
      </c>
      <c r="E841" s="1" t="s">
        <v>95</v>
      </c>
      <c r="F841" s="1">
        <v>3729.0</v>
      </c>
      <c r="G841" s="1">
        <v>4371.0</v>
      </c>
      <c r="H841" s="1">
        <v>4300.0</v>
      </c>
      <c r="I841" s="7">
        <f>IFERROR(__xludf.DUMMYFUNCTION("SPLIT(B841,""T""""Z"")"),42315.0)</f>
        <v>42315</v>
      </c>
      <c r="J841" s="8">
        <f>IFERROR(__xludf.DUMMYFUNCTION("""COMPUTED_VALUE"""),0.14625)</f>
        <v>0.14625</v>
      </c>
      <c r="K841" s="9">
        <f t="shared" si="1"/>
        <v>6</v>
      </c>
      <c r="L841" s="7">
        <f>IFERROR(__xludf.DUMMYFUNCTION("SPLIT(C841,""T""""Z"")"),44798.0)</f>
        <v>44798</v>
      </c>
      <c r="M841" s="8">
        <f>IFERROR(__xludf.DUMMYFUNCTION("""COMPUTED_VALUE"""),0.6029629629629629)</f>
        <v>0.602962963</v>
      </c>
      <c r="N841" s="10">
        <f t="shared" si="2"/>
        <v>134.4711111</v>
      </c>
      <c r="O841" s="11">
        <f t="shared" si="3"/>
        <v>0.9837565774</v>
      </c>
    </row>
    <row r="842">
      <c r="A842" s="1" t="s">
        <v>2545</v>
      </c>
      <c r="B842" s="1" t="s">
        <v>2546</v>
      </c>
      <c r="C842" s="1" t="s">
        <v>2547</v>
      </c>
      <c r="D842" s="1">
        <v>9.0</v>
      </c>
      <c r="E842" s="1" t="s">
        <v>48</v>
      </c>
      <c r="F842" s="1">
        <v>649.0</v>
      </c>
      <c r="G842" s="1">
        <v>927.0</v>
      </c>
      <c r="H842" s="1">
        <v>786.0</v>
      </c>
      <c r="I842" s="7">
        <f>IFERROR(__xludf.DUMMYFUNCTION("SPLIT(B842,""T""""Z"")"),40457.0)</f>
        <v>40457</v>
      </c>
      <c r="J842" s="8">
        <f>IFERROR(__xludf.DUMMYFUNCTION("""COMPUTED_VALUE"""),0.29083333333333333)</f>
        <v>0.2908333333</v>
      </c>
      <c r="K842" s="9">
        <f t="shared" si="1"/>
        <v>11</v>
      </c>
      <c r="L842" s="7">
        <f>IFERROR(__xludf.DUMMYFUNCTION("SPLIT(C842,""T""""Z"")"),44798.0)</f>
        <v>44798</v>
      </c>
      <c r="M842" s="8">
        <f>IFERROR(__xludf.DUMMYFUNCTION("""COMPUTED_VALUE"""),0.48266203703703703)</f>
        <v>0.482662037</v>
      </c>
      <c r="N842" s="10">
        <f t="shared" si="2"/>
        <v>131.5838889</v>
      </c>
      <c r="O842" s="11">
        <f t="shared" si="3"/>
        <v>0.8478964401</v>
      </c>
    </row>
    <row r="843">
      <c r="A843" s="1" t="s">
        <v>2548</v>
      </c>
      <c r="B843" s="1" t="s">
        <v>2549</v>
      </c>
      <c r="C843" s="1" t="s">
        <v>2550</v>
      </c>
      <c r="D843" s="1">
        <v>34.0</v>
      </c>
      <c r="E843" s="1" t="s">
        <v>52</v>
      </c>
      <c r="F843" s="1">
        <v>8821.0</v>
      </c>
      <c r="G843" s="1">
        <v>9526.0</v>
      </c>
      <c r="H843" s="1">
        <v>7742.0</v>
      </c>
      <c r="I843" s="7">
        <f>IFERROR(__xludf.DUMMYFUNCTION("SPLIT(B843,""T""""Z"")"),42124.0)</f>
        <v>42124</v>
      </c>
      <c r="J843" s="8">
        <f>IFERROR(__xludf.DUMMYFUNCTION("""COMPUTED_VALUE"""),0.6814236111111112)</f>
        <v>0.6814236111</v>
      </c>
      <c r="K843" s="9">
        <f t="shared" si="1"/>
        <v>7</v>
      </c>
      <c r="L843" s="7">
        <f>IFERROR(__xludf.DUMMYFUNCTION("SPLIT(C843,""T""""Z"")"),44798.0)</f>
        <v>44798</v>
      </c>
      <c r="M843" s="8">
        <f>IFERROR(__xludf.DUMMYFUNCTION("""COMPUTED_VALUE"""),0.5886342592592593)</f>
        <v>0.5886342593</v>
      </c>
      <c r="N843" s="10">
        <f t="shared" si="2"/>
        <v>134.1272222</v>
      </c>
      <c r="O843" s="11">
        <f t="shared" si="3"/>
        <v>0.8127230737</v>
      </c>
    </row>
    <row r="844">
      <c r="A844" s="1" t="s">
        <v>2551</v>
      </c>
      <c r="B844" s="1" t="s">
        <v>2552</v>
      </c>
      <c r="C844" s="1" t="s">
        <v>2553</v>
      </c>
      <c r="D844" s="1">
        <v>63.0</v>
      </c>
      <c r="E844" s="1" t="s">
        <v>124</v>
      </c>
      <c r="F844" s="1">
        <v>130.0</v>
      </c>
      <c r="G844" s="1">
        <v>384.0</v>
      </c>
      <c r="H844" s="1">
        <v>302.0</v>
      </c>
      <c r="I844" s="7">
        <f>IFERROR(__xludf.DUMMYFUNCTION("SPLIT(B844,""T""""Z"")"),41499.0)</f>
        <v>41499</v>
      </c>
      <c r="J844" s="8">
        <f>IFERROR(__xludf.DUMMYFUNCTION("""COMPUTED_VALUE"""),0.4898263888888889)</f>
        <v>0.4898263889</v>
      </c>
      <c r="K844" s="9">
        <f t="shared" si="1"/>
        <v>9</v>
      </c>
      <c r="L844" s="7">
        <f>IFERROR(__xludf.DUMMYFUNCTION("SPLIT(C844,""T""""Z"")"),44798.0)</f>
        <v>44798</v>
      </c>
      <c r="M844" s="8">
        <f>IFERROR(__xludf.DUMMYFUNCTION("""COMPUTED_VALUE"""),0.5398842592592593)</f>
        <v>0.5398842593</v>
      </c>
      <c r="N844" s="10">
        <f t="shared" si="2"/>
        <v>132.9572222</v>
      </c>
      <c r="O844" s="11">
        <f t="shared" si="3"/>
        <v>0.7864583333</v>
      </c>
    </row>
    <row r="845">
      <c r="A845" s="1" t="s">
        <v>2554</v>
      </c>
      <c r="B845" s="1" t="s">
        <v>2555</v>
      </c>
      <c r="C845" s="1" t="s">
        <v>2556</v>
      </c>
      <c r="D845" s="1">
        <v>0.0</v>
      </c>
      <c r="E845" s="1" t="s">
        <v>52</v>
      </c>
      <c r="F845" s="1">
        <v>0.0</v>
      </c>
      <c r="G845" s="1">
        <v>0.0</v>
      </c>
      <c r="H845" s="1">
        <v>0.0</v>
      </c>
      <c r="I845" s="7">
        <f>IFERROR(__xludf.DUMMYFUNCTION("SPLIT(B845,""T""""Z"")"),41906.0)</f>
        <v>41906</v>
      </c>
      <c r="J845" s="8">
        <f>IFERROR(__xludf.DUMMYFUNCTION("""COMPUTED_VALUE"""),0.6420138888888889)</f>
        <v>0.6420138889</v>
      </c>
      <c r="K845" s="9">
        <f t="shared" si="1"/>
        <v>7</v>
      </c>
      <c r="L845" s="7">
        <f>IFERROR(__xludf.DUMMYFUNCTION("SPLIT(C845,""T""""Z"")"),44798.0)</f>
        <v>44798</v>
      </c>
      <c r="M845" s="8">
        <f>IFERROR(__xludf.DUMMYFUNCTION("""COMPUTED_VALUE"""),0.5055671296296296)</f>
        <v>0.5055671296</v>
      </c>
      <c r="N845" s="10">
        <f t="shared" si="2"/>
        <v>132.1336111</v>
      </c>
      <c r="O845" s="11">
        <f t="shared" si="3"/>
        <v>0</v>
      </c>
    </row>
    <row r="846">
      <c r="A846" s="1" t="s">
        <v>2557</v>
      </c>
      <c r="B846" s="1" t="s">
        <v>2558</v>
      </c>
      <c r="C846" s="1" t="s">
        <v>2559</v>
      </c>
      <c r="D846" s="1">
        <v>58.0</v>
      </c>
      <c r="E846" s="1" t="s">
        <v>18</v>
      </c>
      <c r="F846" s="1">
        <v>771.0</v>
      </c>
      <c r="G846" s="1">
        <v>1700.0</v>
      </c>
      <c r="H846" s="1">
        <v>1657.0</v>
      </c>
      <c r="I846" s="7">
        <f>IFERROR(__xludf.DUMMYFUNCTION("SPLIT(B846,""T""""Z"")"),42142.0)</f>
        <v>42142</v>
      </c>
      <c r="J846" s="8">
        <f>IFERROR(__xludf.DUMMYFUNCTION("""COMPUTED_VALUE"""),0.41315972222222225)</f>
        <v>0.4131597222</v>
      </c>
      <c r="K846" s="9">
        <f t="shared" si="1"/>
        <v>7</v>
      </c>
      <c r="L846" s="7">
        <f>IFERROR(__xludf.DUMMYFUNCTION("SPLIT(C846,""T""""Z"")"),44798.0)</f>
        <v>44798</v>
      </c>
      <c r="M846" s="8">
        <f>IFERROR(__xludf.DUMMYFUNCTION("""COMPUTED_VALUE"""),0.5853472222222222)</f>
        <v>0.5853472222</v>
      </c>
      <c r="N846" s="10">
        <f t="shared" si="2"/>
        <v>134.0483333</v>
      </c>
      <c r="O846" s="11">
        <f t="shared" si="3"/>
        <v>0.9747058824</v>
      </c>
    </row>
    <row r="847">
      <c r="A847" s="1" t="s">
        <v>2560</v>
      </c>
      <c r="B847" s="1" t="s">
        <v>2561</v>
      </c>
      <c r="C847" s="1" t="s">
        <v>2562</v>
      </c>
      <c r="D847" s="1">
        <v>0.0</v>
      </c>
      <c r="E847" s="13" t="s">
        <v>22</v>
      </c>
      <c r="F847" s="1">
        <v>0.0</v>
      </c>
      <c r="G847" s="1">
        <v>2244.0</v>
      </c>
      <c r="H847" s="1">
        <v>1843.0</v>
      </c>
      <c r="I847" s="7">
        <f>IFERROR(__xludf.DUMMYFUNCTION("SPLIT(B847,""T""""Z"")"),42076.0)</f>
        <v>42076</v>
      </c>
      <c r="J847" s="8">
        <f>IFERROR(__xludf.DUMMYFUNCTION("""COMPUTED_VALUE"""),0.5589814814814815)</f>
        <v>0.5589814815</v>
      </c>
      <c r="K847" s="9">
        <f t="shared" si="1"/>
        <v>7</v>
      </c>
      <c r="L847" s="7">
        <f>IFERROR(__xludf.DUMMYFUNCTION("SPLIT(C847,""T""""Z"")"),44798.0)</f>
        <v>44798</v>
      </c>
      <c r="M847" s="8">
        <f>IFERROR(__xludf.DUMMYFUNCTION("""COMPUTED_VALUE"""),0.5345949074074074)</f>
        <v>0.5345949074</v>
      </c>
      <c r="N847" s="12">
        <f t="shared" si="2"/>
        <v>132.8302778</v>
      </c>
      <c r="O847" s="11">
        <f t="shared" si="3"/>
        <v>0.8213012478</v>
      </c>
    </row>
    <row r="848">
      <c r="A848" s="1" t="s">
        <v>2563</v>
      </c>
      <c r="B848" s="1" t="s">
        <v>2564</v>
      </c>
      <c r="C848" s="1" t="s">
        <v>2565</v>
      </c>
      <c r="D848" s="1">
        <v>33.0</v>
      </c>
      <c r="E848" s="1" t="s">
        <v>124</v>
      </c>
      <c r="F848" s="1">
        <v>548.0</v>
      </c>
      <c r="G848" s="1">
        <v>1795.0</v>
      </c>
      <c r="H848" s="1">
        <v>1181.0</v>
      </c>
      <c r="I848" s="7">
        <f>IFERROR(__xludf.DUMMYFUNCTION("SPLIT(B848,""T""""Z"")"),42440.0)</f>
        <v>42440</v>
      </c>
      <c r="J848" s="8">
        <f>IFERROR(__xludf.DUMMYFUNCTION("""COMPUTED_VALUE"""),0.08782407407407407)</f>
        <v>0.08782407407</v>
      </c>
      <c r="K848" s="9">
        <f t="shared" si="1"/>
        <v>6</v>
      </c>
      <c r="L848" s="7">
        <f>IFERROR(__xludf.DUMMYFUNCTION("SPLIT(C848,""T""""Z"")"),44798.0)</f>
        <v>44798</v>
      </c>
      <c r="M848" s="8">
        <f>IFERROR(__xludf.DUMMYFUNCTION("""COMPUTED_VALUE"""),0.6050694444444444)</f>
        <v>0.6050694444</v>
      </c>
      <c r="N848" s="10">
        <f t="shared" si="2"/>
        <v>134.5216667</v>
      </c>
      <c r="O848" s="11">
        <f t="shared" si="3"/>
        <v>0.6579387187</v>
      </c>
    </row>
    <row r="849">
      <c r="A849" s="1" t="s">
        <v>2566</v>
      </c>
      <c r="B849" s="1" t="s">
        <v>2567</v>
      </c>
      <c r="C849" s="1" t="s">
        <v>2568</v>
      </c>
      <c r="D849" s="1">
        <v>0.0</v>
      </c>
      <c r="E849" s="13" t="s">
        <v>22</v>
      </c>
      <c r="F849" s="1">
        <v>39.0</v>
      </c>
      <c r="G849" s="1">
        <v>75.0</v>
      </c>
      <c r="H849" s="1">
        <v>75.0</v>
      </c>
      <c r="I849" s="7">
        <f>IFERROR(__xludf.DUMMYFUNCTION("SPLIT(B849,""T""""Z"")"),42233.0)</f>
        <v>42233</v>
      </c>
      <c r="J849" s="8">
        <f>IFERROR(__xludf.DUMMYFUNCTION("""COMPUTED_VALUE"""),0.642962962962963)</f>
        <v>0.642962963</v>
      </c>
      <c r="K849" s="9">
        <f t="shared" si="1"/>
        <v>7</v>
      </c>
      <c r="L849" s="7">
        <f>IFERROR(__xludf.DUMMYFUNCTION("SPLIT(C849,""T""""Z"")"),44798.0)</f>
        <v>44798</v>
      </c>
      <c r="M849" s="8">
        <f>IFERROR(__xludf.DUMMYFUNCTION("""COMPUTED_VALUE"""),0.4554166666666667)</f>
        <v>0.4554166667</v>
      </c>
      <c r="N849" s="12">
        <f t="shared" si="2"/>
        <v>130.93</v>
      </c>
      <c r="O849" s="11">
        <f t="shared" si="3"/>
        <v>1</v>
      </c>
    </row>
    <row r="850">
      <c r="A850" s="1" t="s">
        <v>2569</v>
      </c>
      <c r="B850" s="1" t="s">
        <v>2570</v>
      </c>
      <c r="C850" s="1" t="s">
        <v>2571</v>
      </c>
      <c r="D850" s="1">
        <v>83.0</v>
      </c>
      <c r="E850" s="1" t="s">
        <v>686</v>
      </c>
      <c r="F850" s="1">
        <v>1348.0</v>
      </c>
      <c r="G850" s="1">
        <v>2002.0</v>
      </c>
      <c r="H850" s="1">
        <v>2002.0</v>
      </c>
      <c r="I850" s="7">
        <f>IFERROR(__xludf.DUMMYFUNCTION("SPLIT(B850,""T""""Z"")"),40970.0)</f>
        <v>40970</v>
      </c>
      <c r="J850" s="8">
        <f>IFERROR(__xludf.DUMMYFUNCTION("""COMPUTED_VALUE"""),0.9245833333333333)</f>
        <v>0.9245833333</v>
      </c>
      <c r="K850" s="9">
        <f t="shared" si="1"/>
        <v>10</v>
      </c>
      <c r="L850" s="7">
        <f>IFERROR(__xludf.DUMMYFUNCTION("SPLIT(C850,""T""""Z"")"),44798.0)</f>
        <v>44798</v>
      </c>
      <c r="M850" s="8">
        <f>IFERROR(__xludf.DUMMYFUNCTION("""COMPUTED_VALUE"""),0.4998958333333333)</f>
        <v>0.4998958333</v>
      </c>
      <c r="N850" s="10">
        <f t="shared" si="2"/>
        <v>131.9975</v>
      </c>
      <c r="O850" s="11">
        <f t="shared" si="3"/>
        <v>1</v>
      </c>
    </row>
    <row r="851">
      <c r="A851" s="1" t="s">
        <v>2572</v>
      </c>
      <c r="B851" s="1" t="s">
        <v>2573</v>
      </c>
      <c r="C851" s="1" t="s">
        <v>2574</v>
      </c>
      <c r="D851" s="1">
        <v>3.0</v>
      </c>
      <c r="E851" s="1" t="s">
        <v>953</v>
      </c>
      <c r="F851" s="1">
        <v>241.0</v>
      </c>
      <c r="G851" s="1">
        <v>2212.0</v>
      </c>
      <c r="H851" s="1">
        <v>1308.0</v>
      </c>
      <c r="I851" s="7">
        <f>IFERROR(__xludf.DUMMYFUNCTION("SPLIT(B851,""T""""Z"")"),40952.0)</f>
        <v>40952</v>
      </c>
      <c r="J851" s="8">
        <f>IFERROR(__xludf.DUMMYFUNCTION("""COMPUTED_VALUE"""),0.638912037037037)</f>
        <v>0.638912037</v>
      </c>
      <c r="K851" s="9">
        <f t="shared" si="1"/>
        <v>10</v>
      </c>
      <c r="L851" s="7">
        <f>IFERROR(__xludf.DUMMYFUNCTION("SPLIT(C851,""T""""Z"")"),44797.0)</f>
        <v>44797</v>
      </c>
      <c r="M851" s="8">
        <f>IFERROR(__xludf.DUMMYFUNCTION("""COMPUTED_VALUE"""),0.07887731481481482)</f>
        <v>0.07887731481</v>
      </c>
      <c r="N851" s="10">
        <f t="shared" si="2"/>
        <v>145.8930556</v>
      </c>
      <c r="O851" s="11">
        <f t="shared" si="3"/>
        <v>0.5913200723</v>
      </c>
    </row>
    <row r="852">
      <c r="A852" s="1" t="s">
        <v>2575</v>
      </c>
      <c r="B852" s="1" t="s">
        <v>2576</v>
      </c>
      <c r="C852" s="1" t="s">
        <v>34</v>
      </c>
      <c r="D852" s="1">
        <v>40.0</v>
      </c>
      <c r="E852" s="1" t="s">
        <v>38</v>
      </c>
      <c r="F852" s="1">
        <v>5991.0</v>
      </c>
      <c r="G852" s="1">
        <v>3425.0</v>
      </c>
      <c r="H852" s="1">
        <v>2586.0</v>
      </c>
      <c r="I852" s="7">
        <f>IFERROR(__xludf.DUMMYFUNCTION("SPLIT(B852,""T""""Z"")"),43398.0)</f>
        <v>43398</v>
      </c>
      <c r="J852" s="8">
        <f>IFERROR(__xludf.DUMMYFUNCTION("""COMPUTED_VALUE"""),0.8923842592592592)</f>
        <v>0.8923842593</v>
      </c>
      <c r="K852" s="9">
        <f t="shared" si="1"/>
        <v>3</v>
      </c>
      <c r="L852" s="7">
        <f>IFERROR(__xludf.DUMMYFUNCTION("SPLIT(C852,""T""""Z"")"),44798.0)</f>
        <v>44798</v>
      </c>
      <c r="M852" s="8">
        <f>IFERROR(__xludf.DUMMYFUNCTION("""COMPUTED_VALUE"""),0.6087962962962963)</f>
        <v>0.6087962963</v>
      </c>
      <c r="N852" s="10">
        <f t="shared" si="2"/>
        <v>134.6111111</v>
      </c>
      <c r="O852" s="11">
        <f t="shared" si="3"/>
        <v>0.7550364964</v>
      </c>
    </row>
    <row r="853">
      <c r="A853" s="1" t="s">
        <v>2577</v>
      </c>
      <c r="B853" s="1" t="s">
        <v>2578</v>
      </c>
      <c r="C853" s="1" t="s">
        <v>2579</v>
      </c>
      <c r="D853" s="1">
        <v>31.0</v>
      </c>
      <c r="E853" s="1" t="s">
        <v>18</v>
      </c>
      <c r="F853" s="1">
        <v>677.0</v>
      </c>
      <c r="G853" s="1">
        <v>1121.0</v>
      </c>
      <c r="H853" s="1">
        <v>741.0</v>
      </c>
      <c r="I853" s="7">
        <f>IFERROR(__xludf.DUMMYFUNCTION("SPLIT(B853,""T""""Z"")"),42336.0)</f>
        <v>42336</v>
      </c>
      <c r="J853" s="8">
        <f>IFERROR(__xludf.DUMMYFUNCTION("""COMPUTED_VALUE"""),0.8726273148148148)</f>
        <v>0.8726273148</v>
      </c>
      <c r="K853" s="9">
        <f t="shared" si="1"/>
        <v>6</v>
      </c>
      <c r="L853" s="7">
        <f>IFERROR(__xludf.DUMMYFUNCTION("SPLIT(C853,""T""""Z"")"),44798.0)</f>
        <v>44798</v>
      </c>
      <c r="M853" s="8">
        <f>IFERROR(__xludf.DUMMYFUNCTION("""COMPUTED_VALUE"""),0.5901851851851851)</f>
        <v>0.5901851852</v>
      </c>
      <c r="N853" s="10">
        <f t="shared" si="2"/>
        <v>134.1644444</v>
      </c>
      <c r="O853" s="11">
        <f t="shared" si="3"/>
        <v>0.6610169492</v>
      </c>
    </row>
    <row r="854">
      <c r="A854" s="1" t="s">
        <v>2580</v>
      </c>
      <c r="B854" s="1" t="s">
        <v>2581</v>
      </c>
      <c r="C854" s="1" t="s">
        <v>2582</v>
      </c>
      <c r="D854" s="1">
        <v>37.0</v>
      </c>
      <c r="E854" s="1" t="s">
        <v>38</v>
      </c>
      <c r="F854" s="1">
        <v>1811.0</v>
      </c>
      <c r="G854" s="1">
        <v>4731.0</v>
      </c>
      <c r="H854" s="1">
        <v>4228.0</v>
      </c>
      <c r="I854" s="7">
        <f>IFERROR(__xludf.DUMMYFUNCTION("SPLIT(B854,""T""""Z"")"),39927.0)</f>
        <v>39927</v>
      </c>
      <c r="J854" s="8">
        <f>IFERROR(__xludf.DUMMYFUNCTION("""COMPUTED_VALUE"""),0.4801388888888889)</f>
        <v>0.4801388889</v>
      </c>
      <c r="K854" s="9">
        <f t="shared" si="1"/>
        <v>13</v>
      </c>
      <c r="L854" s="7">
        <f>IFERROR(__xludf.DUMMYFUNCTION("SPLIT(C854,""T""""Z"")"),44798.0)</f>
        <v>44798</v>
      </c>
      <c r="M854" s="8">
        <f>IFERROR(__xludf.DUMMYFUNCTION("""COMPUTED_VALUE"""),0.4048148148148148)</f>
        <v>0.4048148148</v>
      </c>
      <c r="N854" s="10">
        <f t="shared" si="2"/>
        <v>129.7155556</v>
      </c>
      <c r="O854" s="11">
        <f t="shared" si="3"/>
        <v>0.8936799831</v>
      </c>
    </row>
    <row r="855">
      <c r="A855" s="1" t="s">
        <v>2583</v>
      </c>
      <c r="B855" s="1" t="s">
        <v>2584</v>
      </c>
      <c r="C855" s="1" t="s">
        <v>2585</v>
      </c>
      <c r="D855" s="1">
        <v>1.0</v>
      </c>
      <c r="E855" s="1" t="s">
        <v>88</v>
      </c>
      <c r="F855" s="1">
        <v>42.0</v>
      </c>
      <c r="G855" s="1">
        <v>72.0</v>
      </c>
      <c r="H855" s="1">
        <v>28.0</v>
      </c>
      <c r="I855" s="7">
        <f>IFERROR(__xludf.DUMMYFUNCTION("SPLIT(B855,""T""""Z"")"),41607.0)</f>
        <v>41607</v>
      </c>
      <c r="J855" s="8">
        <f>IFERROR(__xludf.DUMMYFUNCTION("""COMPUTED_VALUE"""),0.7337037037037037)</f>
        <v>0.7337037037</v>
      </c>
      <c r="K855" s="9">
        <f t="shared" si="1"/>
        <v>8</v>
      </c>
      <c r="L855" s="7">
        <f>IFERROR(__xludf.DUMMYFUNCTION("SPLIT(C855,""T""""Z"")"),44798.0)</f>
        <v>44798</v>
      </c>
      <c r="M855" s="8">
        <f>IFERROR(__xludf.DUMMYFUNCTION("""COMPUTED_VALUE"""),0.5844907407407407)</f>
        <v>0.5844907407</v>
      </c>
      <c r="N855" s="10">
        <f t="shared" si="2"/>
        <v>134.0277778</v>
      </c>
      <c r="O855" s="11">
        <f t="shared" si="3"/>
        <v>0.3888888889</v>
      </c>
    </row>
    <row r="856">
      <c r="A856" s="1" t="s">
        <v>2586</v>
      </c>
      <c r="B856" s="1" t="s">
        <v>2587</v>
      </c>
      <c r="C856" s="1" t="s">
        <v>2588</v>
      </c>
      <c r="D856" s="1">
        <v>88.0</v>
      </c>
      <c r="E856" s="1" t="s">
        <v>48</v>
      </c>
      <c r="F856" s="1">
        <v>993.0</v>
      </c>
      <c r="G856" s="1">
        <v>1583.0</v>
      </c>
      <c r="H856" s="1">
        <v>1495.0</v>
      </c>
      <c r="I856" s="7">
        <f>IFERROR(__xludf.DUMMYFUNCTION("SPLIT(B856,""T""""Z"")"),41961.0)</f>
        <v>41961</v>
      </c>
      <c r="J856" s="8">
        <f>IFERROR(__xludf.DUMMYFUNCTION("""COMPUTED_VALUE"""),0.7225231481481481)</f>
        <v>0.7225231481</v>
      </c>
      <c r="K856" s="9">
        <f t="shared" si="1"/>
        <v>7</v>
      </c>
      <c r="L856" s="7">
        <f>IFERROR(__xludf.DUMMYFUNCTION("SPLIT(C856,""T""""Z"")"),44798.0)</f>
        <v>44798</v>
      </c>
      <c r="M856" s="8">
        <f>IFERROR(__xludf.DUMMYFUNCTION("""COMPUTED_VALUE"""),0.508287037037037)</f>
        <v>0.508287037</v>
      </c>
      <c r="N856" s="10">
        <f t="shared" si="2"/>
        <v>132.1988889</v>
      </c>
      <c r="O856" s="11">
        <f t="shared" si="3"/>
        <v>0.9444093493</v>
      </c>
    </row>
    <row r="857">
      <c r="A857" s="1" t="s">
        <v>2589</v>
      </c>
      <c r="B857" s="1" t="s">
        <v>2590</v>
      </c>
      <c r="C857" s="1" t="s">
        <v>2591</v>
      </c>
      <c r="D857" s="1">
        <v>0.0</v>
      </c>
      <c r="E857" s="1" t="s">
        <v>48</v>
      </c>
      <c r="F857" s="1">
        <v>646.0</v>
      </c>
      <c r="G857" s="1">
        <v>1758.0</v>
      </c>
      <c r="H857" s="1">
        <v>1501.0</v>
      </c>
      <c r="I857" s="7">
        <f>IFERROR(__xludf.DUMMYFUNCTION("SPLIT(B857,""T""""Z"")"),42318.0)</f>
        <v>42318</v>
      </c>
      <c r="J857" s="8">
        <f>IFERROR(__xludf.DUMMYFUNCTION("""COMPUTED_VALUE"""),0.9066898148148148)</f>
        <v>0.9066898148</v>
      </c>
      <c r="K857" s="9">
        <f t="shared" si="1"/>
        <v>6</v>
      </c>
      <c r="L857" s="7">
        <f>IFERROR(__xludf.DUMMYFUNCTION("SPLIT(C857,""T""""Z"")"),44798.0)</f>
        <v>44798</v>
      </c>
      <c r="M857" s="8">
        <f>IFERROR(__xludf.DUMMYFUNCTION("""COMPUTED_VALUE"""),0.28422453703703704)</f>
        <v>0.284224537</v>
      </c>
      <c r="N857" s="10">
        <f t="shared" si="2"/>
        <v>126.8213889</v>
      </c>
      <c r="O857" s="11">
        <f t="shared" si="3"/>
        <v>0.853811149</v>
      </c>
    </row>
    <row r="858">
      <c r="A858" s="1" t="s">
        <v>2592</v>
      </c>
      <c r="B858" s="1" t="s">
        <v>2593</v>
      </c>
      <c r="C858" s="1" t="s">
        <v>2594</v>
      </c>
      <c r="D858" s="1">
        <v>5.0</v>
      </c>
      <c r="E858" s="1" t="s">
        <v>88</v>
      </c>
      <c r="F858" s="1">
        <v>687.0</v>
      </c>
      <c r="G858" s="1">
        <v>1483.0</v>
      </c>
      <c r="H858" s="1">
        <v>1370.0</v>
      </c>
      <c r="I858" s="7">
        <f>IFERROR(__xludf.DUMMYFUNCTION("SPLIT(B858,""T""""Z"")"),41608.0)</f>
        <v>41608</v>
      </c>
      <c r="J858" s="8">
        <f>IFERROR(__xludf.DUMMYFUNCTION("""COMPUTED_VALUE"""),0.020787037037037038)</f>
        <v>0.02078703704</v>
      </c>
      <c r="K858" s="9">
        <f t="shared" si="1"/>
        <v>8</v>
      </c>
      <c r="L858" s="7">
        <f>IFERROR(__xludf.DUMMYFUNCTION("SPLIT(C858,""T""""Z"")"),44798.0)</f>
        <v>44798</v>
      </c>
      <c r="M858" s="8">
        <f>IFERROR(__xludf.DUMMYFUNCTION("""COMPUTED_VALUE"""),0.45230324074074074)</f>
        <v>0.4523032407</v>
      </c>
      <c r="N858" s="10">
        <f t="shared" si="2"/>
        <v>130.8552778</v>
      </c>
      <c r="O858" s="11">
        <f t="shared" si="3"/>
        <v>0.9238031018</v>
      </c>
    </row>
    <row r="859">
      <c r="A859" s="1" t="s">
        <v>2595</v>
      </c>
      <c r="B859" s="1" t="s">
        <v>2596</v>
      </c>
      <c r="C859" s="1" t="s">
        <v>2597</v>
      </c>
      <c r="D859" s="1">
        <v>0.0</v>
      </c>
      <c r="E859" s="13" t="s">
        <v>22</v>
      </c>
      <c r="F859" s="1">
        <v>134.0</v>
      </c>
      <c r="G859" s="1">
        <v>168.0</v>
      </c>
      <c r="H859" s="1">
        <v>88.0</v>
      </c>
      <c r="I859" s="7">
        <f>IFERROR(__xludf.DUMMYFUNCTION("SPLIT(B859,""T""""Z"")"),42563.0)</f>
        <v>42563</v>
      </c>
      <c r="J859" s="8">
        <f>IFERROR(__xludf.DUMMYFUNCTION("""COMPUTED_VALUE"""),0.8343055555555555)</f>
        <v>0.8343055556</v>
      </c>
      <c r="K859" s="9">
        <f t="shared" si="1"/>
        <v>6</v>
      </c>
      <c r="L859" s="7">
        <f>IFERROR(__xludf.DUMMYFUNCTION("SPLIT(C859,""T""""Z"")"),44798.0)</f>
        <v>44798</v>
      </c>
      <c r="M859" s="8">
        <f>IFERROR(__xludf.DUMMYFUNCTION("""COMPUTED_VALUE"""),0.5140740740740741)</f>
        <v>0.5140740741</v>
      </c>
      <c r="N859" s="12">
        <f t="shared" si="2"/>
        <v>132.3377778</v>
      </c>
      <c r="O859" s="11">
        <f t="shared" si="3"/>
        <v>0.5238095238</v>
      </c>
    </row>
    <row r="860">
      <c r="A860" s="1" t="s">
        <v>2598</v>
      </c>
      <c r="B860" s="1" t="s">
        <v>2599</v>
      </c>
      <c r="C860" s="1" t="s">
        <v>2600</v>
      </c>
      <c r="D860" s="1">
        <v>0.0</v>
      </c>
      <c r="E860" s="13" t="s">
        <v>22</v>
      </c>
      <c r="F860" s="1">
        <v>206.0</v>
      </c>
      <c r="G860" s="1">
        <v>108.0</v>
      </c>
      <c r="H860" s="1">
        <v>75.0</v>
      </c>
      <c r="I860" s="7">
        <f>IFERROR(__xludf.DUMMYFUNCTION("SPLIT(B860,""T""""Z"")"),42520.0)</f>
        <v>42520</v>
      </c>
      <c r="J860" s="8">
        <f>IFERROR(__xludf.DUMMYFUNCTION("""COMPUTED_VALUE"""),0.7274884259259259)</f>
        <v>0.7274884259</v>
      </c>
      <c r="K860" s="9">
        <f t="shared" si="1"/>
        <v>6</v>
      </c>
      <c r="L860" s="7">
        <f>IFERROR(__xludf.DUMMYFUNCTION("SPLIT(C860,""T""""Z"")"),44798.0)</f>
        <v>44798</v>
      </c>
      <c r="M860" s="8">
        <f>IFERROR(__xludf.DUMMYFUNCTION("""COMPUTED_VALUE"""),0.5702546296296296)</f>
        <v>0.5702546296</v>
      </c>
      <c r="N860" s="12">
        <f t="shared" si="2"/>
        <v>133.6861111</v>
      </c>
      <c r="O860" s="11">
        <f t="shared" si="3"/>
        <v>0.6944444444</v>
      </c>
    </row>
    <row r="861">
      <c r="A861" s="1" t="s">
        <v>2601</v>
      </c>
      <c r="B861" s="1" t="s">
        <v>2602</v>
      </c>
      <c r="C861" s="1" t="s">
        <v>2603</v>
      </c>
      <c r="D861" s="1">
        <v>0.0</v>
      </c>
      <c r="E861" s="13" t="s">
        <v>22</v>
      </c>
      <c r="F861" s="1">
        <v>192.0</v>
      </c>
      <c r="G861" s="1">
        <v>243.0</v>
      </c>
      <c r="H861" s="1">
        <v>82.0</v>
      </c>
      <c r="I861" s="7">
        <f>IFERROR(__xludf.DUMMYFUNCTION("SPLIT(B861,""T""""Z"")"),40913.0)</f>
        <v>40913</v>
      </c>
      <c r="J861" s="8">
        <f>IFERROR(__xludf.DUMMYFUNCTION("""COMPUTED_VALUE"""),0.8256365740740741)</f>
        <v>0.8256365741</v>
      </c>
      <c r="K861" s="9">
        <f t="shared" si="1"/>
        <v>10</v>
      </c>
      <c r="L861" s="7">
        <f>IFERROR(__xludf.DUMMYFUNCTION("SPLIT(C861,""T""""Z"")"),44798.0)</f>
        <v>44798</v>
      </c>
      <c r="M861" s="8">
        <f>IFERROR(__xludf.DUMMYFUNCTION("""COMPUTED_VALUE"""),0.5738541666666667)</f>
        <v>0.5738541667</v>
      </c>
      <c r="N861" s="12">
        <f t="shared" si="2"/>
        <v>133.7725</v>
      </c>
      <c r="O861" s="11">
        <f t="shared" si="3"/>
        <v>0.3374485597</v>
      </c>
    </row>
    <row r="862">
      <c r="A862" s="1" t="s">
        <v>2604</v>
      </c>
      <c r="B862" s="1" t="s">
        <v>2605</v>
      </c>
      <c r="C862" s="1" t="s">
        <v>2606</v>
      </c>
      <c r="D862" s="1">
        <v>0.0</v>
      </c>
      <c r="E862" s="1" t="s">
        <v>124</v>
      </c>
      <c r="F862" s="1">
        <v>10.0</v>
      </c>
      <c r="G862" s="1">
        <v>26.0</v>
      </c>
      <c r="H862" s="1">
        <v>13.0</v>
      </c>
      <c r="I862" s="7">
        <f>IFERROR(__xludf.DUMMYFUNCTION("SPLIT(B862,""T""""Z"")"),42352.0)</f>
        <v>42352</v>
      </c>
      <c r="J862" s="8">
        <f>IFERROR(__xludf.DUMMYFUNCTION("""COMPUTED_VALUE"""),0.9202083333333333)</f>
        <v>0.9202083333</v>
      </c>
      <c r="K862" s="9">
        <f t="shared" si="1"/>
        <v>6</v>
      </c>
      <c r="L862" s="7">
        <f>IFERROR(__xludf.DUMMYFUNCTION("SPLIT(C862,""T""""Z"")"),44798.0)</f>
        <v>44798</v>
      </c>
      <c r="M862" s="8">
        <f>IFERROR(__xludf.DUMMYFUNCTION("""COMPUTED_VALUE"""),0.5179976851851852)</f>
        <v>0.5179976852</v>
      </c>
      <c r="N862" s="10">
        <f t="shared" si="2"/>
        <v>132.4319444</v>
      </c>
      <c r="O862" s="11">
        <f t="shared" si="3"/>
        <v>0.5</v>
      </c>
    </row>
    <row r="863">
      <c r="A863" s="1" t="s">
        <v>2607</v>
      </c>
      <c r="B863" s="1" t="s">
        <v>2608</v>
      </c>
      <c r="C863" s="1" t="s">
        <v>1593</v>
      </c>
      <c r="D863" s="1">
        <v>0.0</v>
      </c>
      <c r="E863" s="1" t="s">
        <v>38</v>
      </c>
      <c r="F863" s="1">
        <v>27.0</v>
      </c>
      <c r="G863" s="1">
        <v>12.0</v>
      </c>
      <c r="H863" s="1">
        <v>12.0</v>
      </c>
      <c r="I863" s="7">
        <f>IFERROR(__xludf.DUMMYFUNCTION("SPLIT(B863,""T""""Z"")"),42315.0)</f>
        <v>42315</v>
      </c>
      <c r="J863" s="8">
        <f>IFERROR(__xludf.DUMMYFUNCTION("""COMPUTED_VALUE"""),0.2137962962962963)</f>
        <v>0.2137962963</v>
      </c>
      <c r="K863" s="9">
        <f t="shared" si="1"/>
        <v>6</v>
      </c>
      <c r="L863" s="7">
        <f>IFERROR(__xludf.DUMMYFUNCTION("SPLIT(C863,""T""""Z"")"),44798.0)</f>
        <v>44798</v>
      </c>
      <c r="M863" s="8">
        <f>IFERROR(__xludf.DUMMYFUNCTION("""COMPUTED_VALUE"""),0.6017824074074074)</f>
        <v>0.6017824074</v>
      </c>
      <c r="N863" s="10">
        <f t="shared" si="2"/>
        <v>134.4427778</v>
      </c>
      <c r="O863" s="11">
        <f t="shared" si="3"/>
        <v>1</v>
      </c>
    </row>
    <row r="864">
      <c r="A864" s="1" t="s">
        <v>2609</v>
      </c>
      <c r="B864" s="1" t="s">
        <v>2610</v>
      </c>
      <c r="C864" s="1" t="s">
        <v>2611</v>
      </c>
      <c r="D864" s="1">
        <v>72.0</v>
      </c>
      <c r="E864" s="1" t="s">
        <v>88</v>
      </c>
      <c r="F864" s="1">
        <v>0.0</v>
      </c>
      <c r="G864" s="1">
        <v>1834.0</v>
      </c>
      <c r="H864" s="1">
        <v>1823.0</v>
      </c>
      <c r="I864" s="7">
        <f>IFERROR(__xludf.DUMMYFUNCTION("SPLIT(B864,""T""""Z"")"),40866.0)</f>
        <v>40866</v>
      </c>
      <c r="J864" s="8">
        <f>IFERROR(__xludf.DUMMYFUNCTION("""COMPUTED_VALUE"""),0.8000578703703703)</f>
        <v>0.8000578704</v>
      </c>
      <c r="K864" s="9">
        <f t="shared" si="1"/>
        <v>10</v>
      </c>
      <c r="L864" s="7">
        <f>IFERROR(__xludf.DUMMYFUNCTION("SPLIT(C864,""T""""Z"")"),44798.0)</f>
        <v>44798</v>
      </c>
      <c r="M864" s="8">
        <f>IFERROR(__xludf.DUMMYFUNCTION("""COMPUTED_VALUE"""),0.588761574074074)</f>
        <v>0.5887615741</v>
      </c>
      <c r="N864" s="10">
        <f t="shared" si="2"/>
        <v>134.1302778</v>
      </c>
      <c r="O864" s="11">
        <f t="shared" si="3"/>
        <v>0.994002181</v>
      </c>
    </row>
    <row r="865">
      <c r="A865" s="1" t="s">
        <v>2612</v>
      </c>
      <c r="B865" s="1" t="s">
        <v>2613</v>
      </c>
      <c r="C865" s="1" t="s">
        <v>2614</v>
      </c>
      <c r="D865" s="1">
        <v>60.0</v>
      </c>
      <c r="E865" s="1" t="s">
        <v>228</v>
      </c>
      <c r="F865" s="1">
        <v>647.0</v>
      </c>
      <c r="G865" s="1">
        <v>741.0</v>
      </c>
      <c r="H865" s="1">
        <v>722.0</v>
      </c>
      <c r="I865" s="7">
        <f>IFERROR(__xludf.DUMMYFUNCTION("SPLIT(B865,""T""""Z"")"),40591.0)</f>
        <v>40591</v>
      </c>
      <c r="J865" s="8">
        <f>IFERROR(__xludf.DUMMYFUNCTION("""COMPUTED_VALUE"""),0.08836805555555556)</f>
        <v>0.08836805556</v>
      </c>
      <c r="K865" s="9">
        <f t="shared" si="1"/>
        <v>11</v>
      </c>
      <c r="L865" s="7">
        <f>IFERROR(__xludf.DUMMYFUNCTION("SPLIT(C865,""T""""Z"")"),44798.0)</f>
        <v>44798</v>
      </c>
      <c r="M865" s="8">
        <f>IFERROR(__xludf.DUMMYFUNCTION("""COMPUTED_VALUE"""),0.5935532407407408)</f>
        <v>0.5935532407</v>
      </c>
      <c r="N865" s="10">
        <f t="shared" si="2"/>
        <v>134.2452778</v>
      </c>
      <c r="O865" s="11">
        <f t="shared" si="3"/>
        <v>0.9743589744</v>
      </c>
    </row>
    <row r="866">
      <c r="A866" s="1" t="s">
        <v>2615</v>
      </c>
      <c r="B866" s="1" t="s">
        <v>2616</v>
      </c>
      <c r="C866" s="1" t="s">
        <v>2617</v>
      </c>
      <c r="D866" s="1">
        <v>24.0</v>
      </c>
      <c r="E866" s="1" t="s">
        <v>48</v>
      </c>
      <c r="F866" s="1">
        <v>11182.0</v>
      </c>
      <c r="G866" s="1">
        <v>7080.0</v>
      </c>
      <c r="H866" s="1">
        <v>6893.0</v>
      </c>
      <c r="I866" s="7">
        <f>IFERROR(__xludf.DUMMYFUNCTION("SPLIT(B866,""T""""Z"")"),41568.0)</f>
        <v>41568</v>
      </c>
      <c r="J866" s="8">
        <f>IFERROR(__xludf.DUMMYFUNCTION("""COMPUTED_VALUE"""),0.8384490740740741)</f>
        <v>0.8384490741</v>
      </c>
      <c r="K866" s="9">
        <f t="shared" si="1"/>
        <v>8</v>
      </c>
      <c r="L866" s="7">
        <f>IFERROR(__xludf.DUMMYFUNCTION("SPLIT(C866,""T""""Z"")"),44798.0)</f>
        <v>44798</v>
      </c>
      <c r="M866" s="8">
        <f>IFERROR(__xludf.DUMMYFUNCTION("""COMPUTED_VALUE"""),0.5741782407407408)</f>
        <v>0.5741782407</v>
      </c>
      <c r="N866" s="10">
        <f t="shared" si="2"/>
        <v>133.7802778</v>
      </c>
      <c r="O866" s="11">
        <f t="shared" si="3"/>
        <v>0.9735875706</v>
      </c>
    </row>
    <row r="867">
      <c r="A867" s="1" t="s">
        <v>2618</v>
      </c>
      <c r="B867" s="1" t="s">
        <v>2619</v>
      </c>
      <c r="C867" s="1" t="s">
        <v>2620</v>
      </c>
      <c r="D867" s="1">
        <v>34.0</v>
      </c>
      <c r="E867" s="1" t="s">
        <v>48</v>
      </c>
      <c r="F867" s="1">
        <v>69.0</v>
      </c>
      <c r="G867" s="1">
        <v>513.0</v>
      </c>
      <c r="H867" s="1">
        <v>512.0</v>
      </c>
      <c r="I867" s="7">
        <f>IFERROR(__xludf.DUMMYFUNCTION("SPLIT(B867,""T""""Z"")"),42082.0)</f>
        <v>42082</v>
      </c>
      <c r="J867" s="8">
        <f>IFERROR(__xludf.DUMMYFUNCTION("""COMPUTED_VALUE"""),0.6651273148148148)</f>
        <v>0.6651273148</v>
      </c>
      <c r="K867" s="9">
        <f t="shared" si="1"/>
        <v>7</v>
      </c>
      <c r="L867" s="7">
        <f>IFERROR(__xludf.DUMMYFUNCTION("SPLIT(C867,""T""""Z"")"),44798.0)</f>
        <v>44798</v>
      </c>
      <c r="M867" s="8">
        <f>IFERROR(__xludf.DUMMYFUNCTION("""COMPUTED_VALUE"""),0.5304282407407407)</f>
        <v>0.5304282407</v>
      </c>
      <c r="N867" s="10">
        <f t="shared" si="2"/>
        <v>132.7302778</v>
      </c>
      <c r="O867" s="11">
        <f t="shared" si="3"/>
        <v>0.9980506823</v>
      </c>
    </row>
    <row r="868">
      <c r="A868" s="1" t="s">
        <v>2621</v>
      </c>
      <c r="B868" s="1" t="s">
        <v>2622</v>
      </c>
      <c r="C868" s="1" t="s">
        <v>2623</v>
      </c>
      <c r="D868" s="1">
        <v>1031.0</v>
      </c>
      <c r="E868" s="1" t="s">
        <v>18</v>
      </c>
      <c r="F868" s="1">
        <v>932.0</v>
      </c>
      <c r="G868" s="1">
        <v>378.0</v>
      </c>
      <c r="H868" s="1">
        <v>232.0</v>
      </c>
      <c r="I868" s="7">
        <f>IFERROR(__xludf.DUMMYFUNCTION("SPLIT(B868,""T""""Z"")"),44103.0)</f>
        <v>44103</v>
      </c>
      <c r="J868" s="8">
        <f>IFERROR(__xludf.DUMMYFUNCTION("""COMPUTED_VALUE"""),0.09798611111111111)</f>
        <v>0.09798611111</v>
      </c>
      <c r="K868" s="9">
        <f t="shared" si="1"/>
        <v>1</v>
      </c>
      <c r="L868" s="7">
        <f>IFERROR(__xludf.DUMMYFUNCTION("SPLIT(C868,""T""""Z"")"),44798.0)</f>
        <v>44798</v>
      </c>
      <c r="M868" s="8">
        <f>IFERROR(__xludf.DUMMYFUNCTION("""COMPUTED_VALUE"""),0.4527662037037037)</f>
        <v>0.4527662037</v>
      </c>
      <c r="N868" s="10">
        <f t="shared" si="2"/>
        <v>130.8663889</v>
      </c>
      <c r="O868" s="11">
        <f t="shared" si="3"/>
        <v>0.6137566138</v>
      </c>
    </row>
    <row r="869">
      <c r="A869" s="1" t="s">
        <v>2624</v>
      </c>
      <c r="B869" s="1" t="s">
        <v>2625</v>
      </c>
      <c r="C869" s="1" t="s">
        <v>2626</v>
      </c>
      <c r="D869" s="1">
        <v>100.0</v>
      </c>
      <c r="E869" s="1" t="s">
        <v>38</v>
      </c>
      <c r="F869" s="1">
        <v>5690.0</v>
      </c>
      <c r="G869" s="1">
        <v>5286.0</v>
      </c>
      <c r="H869" s="1">
        <v>4842.0</v>
      </c>
      <c r="I869" s="7">
        <f>IFERROR(__xludf.DUMMYFUNCTION("SPLIT(B869,""T""""Z"")"),43555.0)</f>
        <v>43555</v>
      </c>
      <c r="J869" s="8">
        <f>IFERROR(__xludf.DUMMYFUNCTION("""COMPUTED_VALUE"""),0.03190972222222222)</f>
        <v>0.03190972222</v>
      </c>
      <c r="K869" s="9">
        <f t="shared" si="1"/>
        <v>3</v>
      </c>
      <c r="L869" s="7">
        <f>IFERROR(__xludf.DUMMYFUNCTION("SPLIT(C869,""T""""Z"")"),44798.0)</f>
        <v>44798</v>
      </c>
      <c r="M869" s="8">
        <f>IFERROR(__xludf.DUMMYFUNCTION("""COMPUTED_VALUE"""),0.5731828703703704)</f>
        <v>0.5731828704</v>
      </c>
      <c r="N869" s="10">
        <f t="shared" si="2"/>
        <v>133.7563889</v>
      </c>
      <c r="O869" s="11">
        <f t="shared" si="3"/>
        <v>0.9160045403</v>
      </c>
    </row>
    <row r="870">
      <c r="A870" s="1" t="s">
        <v>2627</v>
      </c>
      <c r="B870" s="1" t="s">
        <v>2628</v>
      </c>
      <c r="C870" s="1" t="s">
        <v>2629</v>
      </c>
      <c r="D870" s="1">
        <v>62.0</v>
      </c>
      <c r="E870" s="1" t="s">
        <v>228</v>
      </c>
      <c r="F870" s="1">
        <v>15956.0</v>
      </c>
      <c r="G870" s="1">
        <v>14348.0</v>
      </c>
      <c r="H870" s="1">
        <v>12253.0</v>
      </c>
      <c r="I870" s="7">
        <f>IFERROR(__xludf.DUMMYFUNCTION("SPLIT(B870,""T""""Z"")"),42523.0)</f>
        <v>42523</v>
      </c>
      <c r="J870" s="8">
        <f>IFERROR(__xludf.DUMMYFUNCTION("""COMPUTED_VALUE"""),0.32238425925925923)</f>
        <v>0.3223842593</v>
      </c>
      <c r="K870" s="9">
        <f t="shared" si="1"/>
        <v>6</v>
      </c>
      <c r="L870" s="7">
        <f>IFERROR(__xludf.DUMMYFUNCTION("SPLIT(C870,""T""""Z"")"),44798.0)</f>
        <v>44798</v>
      </c>
      <c r="M870" s="8">
        <f>IFERROR(__xludf.DUMMYFUNCTION("""COMPUTED_VALUE"""),0.5651851851851852)</f>
        <v>0.5651851852</v>
      </c>
      <c r="N870" s="10">
        <f t="shared" si="2"/>
        <v>133.5644444</v>
      </c>
      <c r="O870" s="11">
        <f t="shared" si="3"/>
        <v>0.8539866183</v>
      </c>
    </row>
    <row r="871">
      <c r="A871" s="1" t="s">
        <v>2630</v>
      </c>
      <c r="B871" s="1" t="s">
        <v>2631</v>
      </c>
      <c r="C871" s="1" t="s">
        <v>2632</v>
      </c>
      <c r="D871" s="1">
        <v>80.0</v>
      </c>
      <c r="E871" s="1" t="s">
        <v>88</v>
      </c>
      <c r="F871" s="1">
        <v>1281.0</v>
      </c>
      <c r="G871" s="1">
        <v>7674.0</v>
      </c>
      <c r="H871" s="1">
        <v>6876.0</v>
      </c>
      <c r="I871" s="7">
        <f>IFERROR(__xludf.DUMMYFUNCTION("SPLIT(B871,""T""""Z"")"),41195.0)</f>
        <v>41195</v>
      </c>
      <c r="J871" s="8">
        <f>IFERROR(__xludf.DUMMYFUNCTION("""COMPUTED_VALUE"""),0.33939814814814817)</f>
        <v>0.3393981481</v>
      </c>
      <c r="K871" s="9">
        <f t="shared" si="1"/>
        <v>9</v>
      </c>
      <c r="L871" s="7">
        <f>IFERROR(__xludf.DUMMYFUNCTION("SPLIT(C871,""T""""Z"")"),44798.0)</f>
        <v>44798</v>
      </c>
      <c r="M871" s="8">
        <f>IFERROR(__xludf.DUMMYFUNCTION("""COMPUTED_VALUE"""),0.6100810185185185)</f>
        <v>0.6100810185</v>
      </c>
      <c r="N871" s="10">
        <f t="shared" si="2"/>
        <v>134.6419444</v>
      </c>
      <c r="O871" s="11">
        <f t="shared" si="3"/>
        <v>0.8960125098</v>
      </c>
    </row>
    <row r="872">
      <c r="A872" s="1" t="s">
        <v>2633</v>
      </c>
      <c r="B872" s="1" t="s">
        <v>2634</v>
      </c>
      <c r="C872" s="1" t="s">
        <v>2635</v>
      </c>
      <c r="D872" s="1">
        <v>3.0</v>
      </c>
      <c r="E872" s="1" t="s">
        <v>2636</v>
      </c>
      <c r="F872" s="1">
        <v>100.0</v>
      </c>
      <c r="G872" s="1">
        <v>256.0</v>
      </c>
      <c r="H872" s="1">
        <v>211.0</v>
      </c>
      <c r="I872" s="7">
        <f>IFERROR(__xludf.DUMMYFUNCTION("SPLIT(B872,""T""""Z"")"),41728.0)</f>
        <v>41728</v>
      </c>
      <c r="J872" s="8">
        <f>IFERROR(__xludf.DUMMYFUNCTION("""COMPUTED_VALUE"""),0.9369444444444445)</f>
        <v>0.9369444444</v>
      </c>
      <c r="K872" s="9">
        <f t="shared" si="1"/>
        <v>8</v>
      </c>
      <c r="L872" s="7">
        <f>IFERROR(__xludf.DUMMYFUNCTION("SPLIT(C872,""T""""Z"")"),44797.0)</f>
        <v>44797</v>
      </c>
      <c r="M872" s="8">
        <f>IFERROR(__xludf.DUMMYFUNCTION("""COMPUTED_VALUE"""),0.495787037037037)</f>
        <v>0.495787037</v>
      </c>
      <c r="N872" s="10">
        <f t="shared" si="2"/>
        <v>155.8988889</v>
      </c>
      <c r="O872" s="11">
        <f t="shared" si="3"/>
        <v>0.82421875</v>
      </c>
    </row>
    <row r="873">
      <c r="A873" s="1" t="s">
        <v>2637</v>
      </c>
      <c r="B873" s="1" t="s">
        <v>2638</v>
      </c>
      <c r="C873" s="1" t="s">
        <v>2639</v>
      </c>
      <c r="D873" s="1">
        <v>83.0</v>
      </c>
      <c r="E873" s="1" t="s">
        <v>48</v>
      </c>
      <c r="F873" s="1">
        <v>1203.0</v>
      </c>
      <c r="G873" s="1">
        <v>878.0</v>
      </c>
      <c r="H873" s="1">
        <v>533.0</v>
      </c>
      <c r="I873" s="7">
        <f>IFERROR(__xludf.DUMMYFUNCTION("SPLIT(B873,""T""""Z"")"),43522.0)</f>
        <v>43522</v>
      </c>
      <c r="J873" s="8">
        <f>IFERROR(__xludf.DUMMYFUNCTION("""COMPUTED_VALUE"""),0.6566898148148148)</f>
        <v>0.6566898148</v>
      </c>
      <c r="K873" s="9">
        <f t="shared" si="1"/>
        <v>3</v>
      </c>
      <c r="L873" s="7">
        <f>IFERROR(__xludf.DUMMYFUNCTION("SPLIT(C873,""T""""Z"")"),44798.0)</f>
        <v>44798</v>
      </c>
      <c r="M873" s="8">
        <f>IFERROR(__xludf.DUMMYFUNCTION("""COMPUTED_VALUE"""),0.42663194444444447)</f>
        <v>0.4266319444</v>
      </c>
      <c r="N873" s="10">
        <f t="shared" si="2"/>
        <v>130.2391667</v>
      </c>
      <c r="O873" s="11">
        <f t="shared" si="3"/>
        <v>0.6070615034</v>
      </c>
    </row>
    <row r="874">
      <c r="A874" s="1" t="s">
        <v>2640</v>
      </c>
      <c r="B874" s="1" t="s">
        <v>2641</v>
      </c>
      <c r="C874" s="1" t="s">
        <v>2642</v>
      </c>
      <c r="D874" s="1">
        <v>889.0</v>
      </c>
      <c r="E874" s="1" t="s">
        <v>124</v>
      </c>
      <c r="F874" s="1">
        <v>7375.0</v>
      </c>
      <c r="G874" s="1">
        <v>29589.0</v>
      </c>
      <c r="H874" s="1">
        <v>27536.0</v>
      </c>
      <c r="I874" s="7">
        <f>IFERROR(__xludf.DUMMYFUNCTION("SPLIT(B874,""T""""Z"")"),41950.0)</f>
        <v>41950</v>
      </c>
      <c r="J874" s="8">
        <f>IFERROR(__xludf.DUMMYFUNCTION("""COMPUTED_VALUE"""),0.8677199074074075)</f>
        <v>0.8677199074</v>
      </c>
      <c r="K874" s="9">
        <f t="shared" si="1"/>
        <v>7</v>
      </c>
      <c r="L874" s="7">
        <f>IFERROR(__xludf.DUMMYFUNCTION("SPLIT(C874,""T""""Z"")"),44798.0)</f>
        <v>44798</v>
      </c>
      <c r="M874" s="8">
        <f>IFERROR(__xludf.DUMMYFUNCTION("""COMPUTED_VALUE"""),0.5789814814814814)</f>
        <v>0.5789814815</v>
      </c>
      <c r="N874" s="10">
        <f t="shared" si="2"/>
        <v>133.8955556</v>
      </c>
      <c r="O874" s="11">
        <f t="shared" si="3"/>
        <v>0.9306161073</v>
      </c>
    </row>
    <row r="875">
      <c r="A875" s="1" t="s">
        <v>2643</v>
      </c>
      <c r="B875" s="1" t="s">
        <v>2644</v>
      </c>
      <c r="C875" s="1" t="s">
        <v>2645</v>
      </c>
      <c r="D875" s="1">
        <v>1.0</v>
      </c>
      <c r="E875" s="1" t="s">
        <v>48</v>
      </c>
      <c r="F875" s="1">
        <v>1.0</v>
      </c>
      <c r="G875" s="1">
        <v>832.0</v>
      </c>
      <c r="H875" s="1">
        <v>811.0</v>
      </c>
      <c r="I875" s="7">
        <f>IFERROR(__xludf.DUMMYFUNCTION("SPLIT(B875,""T""""Z"")"),40538.0)</f>
        <v>40538</v>
      </c>
      <c r="J875" s="8">
        <f>IFERROR(__xludf.DUMMYFUNCTION("""COMPUTED_VALUE"""),0.5373032407407408)</f>
        <v>0.5373032407</v>
      </c>
      <c r="K875" s="9">
        <f t="shared" si="1"/>
        <v>11</v>
      </c>
      <c r="L875" s="7">
        <f>IFERROR(__xludf.DUMMYFUNCTION("SPLIT(C875,""T""""Z"")"),44798.0)</f>
        <v>44798</v>
      </c>
      <c r="M875" s="8">
        <f>IFERROR(__xludf.DUMMYFUNCTION("""COMPUTED_VALUE"""),0.39358796296296295)</f>
        <v>0.393587963</v>
      </c>
      <c r="N875" s="10">
        <f t="shared" si="2"/>
        <v>129.4461111</v>
      </c>
      <c r="O875" s="11">
        <f t="shared" si="3"/>
        <v>0.9747596154</v>
      </c>
    </row>
    <row r="876">
      <c r="A876" s="1" t="s">
        <v>2646</v>
      </c>
      <c r="B876" s="1" t="s">
        <v>2647</v>
      </c>
      <c r="C876" s="1" t="s">
        <v>2648</v>
      </c>
      <c r="D876" s="1">
        <v>1.0</v>
      </c>
      <c r="E876" s="1" t="s">
        <v>193</v>
      </c>
      <c r="F876" s="1">
        <v>18.0</v>
      </c>
      <c r="G876" s="1">
        <v>44.0</v>
      </c>
      <c r="H876" s="1">
        <v>43.0</v>
      </c>
      <c r="I876" s="7">
        <f>IFERROR(__xludf.DUMMYFUNCTION("SPLIT(B876,""T""""Z"")"),42643.0)</f>
        <v>42643</v>
      </c>
      <c r="J876" s="8">
        <f>IFERROR(__xludf.DUMMYFUNCTION("""COMPUTED_VALUE"""),0.4953356481481481)</f>
        <v>0.4953356481</v>
      </c>
      <c r="K876" s="9">
        <f t="shared" si="1"/>
        <v>5</v>
      </c>
      <c r="L876" s="7">
        <f>IFERROR(__xludf.DUMMYFUNCTION("SPLIT(C876,""T""""Z"")"),44798.0)</f>
        <v>44798</v>
      </c>
      <c r="M876" s="8">
        <f>IFERROR(__xludf.DUMMYFUNCTION("""COMPUTED_VALUE"""),0.5582060185185185)</f>
        <v>0.5582060185</v>
      </c>
      <c r="N876" s="10">
        <f t="shared" si="2"/>
        <v>133.3969444</v>
      </c>
      <c r="O876" s="11">
        <f t="shared" si="3"/>
        <v>0.9772727273</v>
      </c>
    </row>
    <row r="877">
      <c r="A877" s="1" t="s">
        <v>2649</v>
      </c>
      <c r="B877" s="1" t="s">
        <v>2650</v>
      </c>
      <c r="C877" s="1" t="s">
        <v>2651</v>
      </c>
      <c r="D877" s="1">
        <v>20.0</v>
      </c>
      <c r="E877" s="1" t="s">
        <v>95</v>
      </c>
      <c r="F877" s="1">
        <v>533.0</v>
      </c>
      <c r="G877" s="1">
        <v>9376.0</v>
      </c>
      <c r="H877" s="1">
        <v>8758.0</v>
      </c>
      <c r="I877" s="7">
        <f>IFERROR(__xludf.DUMMYFUNCTION("SPLIT(B877,""T""""Z"")"),41803.0)</f>
        <v>41803</v>
      </c>
      <c r="J877" s="8">
        <f>IFERROR(__xludf.DUMMYFUNCTION("""COMPUTED_VALUE"""),0.8884027777777778)</f>
        <v>0.8884027778</v>
      </c>
      <c r="K877" s="9">
        <f t="shared" si="1"/>
        <v>8</v>
      </c>
      <c r="L877" s="7">
        <f>IFERROR(__xludf.DUMMYFUNCTION("SPLIT(C877,""T""""Z"")"),44798.0)</f>
        <v>44798</v>
      </c>
      <c r="M877" s="8">
        <f>IFERROR(__xludf.DUMMYFUNCTION("""COMPUTED_VALUE"""),0.37875)</f>
        <v>0.37875</v>
      </c>
      <c r="N877" s="10">
        <f t="shared" si="2"/>
        <v>129.09</v>
      </c>
      <c r="O877" s="11">
        <f t="shared" si="3"/>
        <v>0.9340870307</v>
      </c>
    </row>
    <row r="878">
      <c r="A878" s="1" t="s">
        <v>2652</v>
      </c>
      <c r="B878" s="1" t="s">
        <v>2653</v>
      </c>
      <c r="C878" s="1" t="s">
        <v>2654</v>
      </c>
      <c r="D878" s="1">
        <v>0.0</v>
      </c>
      <c r="E878" s="1" t="s">
        <v>48</v>
      </c>
      <c r="F878" s="1">
        <v>7.0</v>
      </c>
      <c r="G878" s="1">
        <v>44.0</v>
      </c>
      <c r="H878" s="1">
        <v>30.0</v>
      </c>
      <c r="I878" s="7">
        <f>IFERROR(__xludf.DUMMYFUNCTION("SPLIT(B878,""T""""Z"")"),43503.0)</f>
        <v>43503</v>
      </c>
      <c r="J878" s="8">
        <f>IFERROR(__xludf.DUMMYFUNCTION("""COMPUTED_VALUE"""),0.27458333333333335)</f>
        <v>0.2745833333</v>
      </c>
      <c r="K878" s="9">
        <f t="shared" si="1"/>
        <v>3</v>
      </c>
      <c r="L878" s="7">
        <f>IFERROR(__xludf.DUMMYFUNCTION("SPLIT(C878,""T""""Z"")"),44798.0)</f>
        <v>44798</v>
      </c>
      <c r="M878" s="8">
        <f>IFERROR(__xludf.DUMMYFUNCTION("""COMPUTED_VALUE"""),0.4729861111111111)</f>
        <v>0.4729861111</v>
      </c>
      <c r="N878" s="10">
        <f t="shared" si="2"/>
        <v>131.3516667</v>
      </c>
      <c r="O878" s="11">
        <f t="shared" si="3"/>
        <v>0.6818181818</v>
      </c>
    </row>
    <row r="879">
      <c r="A879" s="1" t="s">
        <v>2655</v>
      </c>
      <c r="B879" s="1" t="s">
        <v>2656</v>
      </c>
      <c r="C879" s="1" t="s">
        <v>2657</v>
      </c>
      <c r="D879" s="1">
        <v>21.0</v>
      </c>
      <c r="E879" s="1" t="s">
        <v>95</v>
      </c>
      <c r="F879" s="1">
        <v>434.0</v>
      </c>
      <c r="G879" s="1">
        <v>1884.0</v>
      </c>
      <c r="H879" s="1">
        <v>1443.0</v>
      </c>
      <c r="I879" s="7">
        <f>IFERROR(__xludf.DUMMYFUNCTION("SPLIT(B879,""T""""Z"")"),43194.0)</f>
        <v>43194</v>
      </c>
      <c r="J879" s="8">
        <f>IFERROR(__xludf.DUMMYFUNCTION("""COMPUTED_VALUE"""),0.2760763888888889)</f>
        <v>0.2760763889</v>
      </c>
      <c r="K879" s="9">
        <f t="shared" si="1"/>
        <v>4</v>
      </c>
      <c r="L879" s="7">
        <f>IFERROR(__xludf.DUMMYFUNCTION("SPLIT(C879,""T""""Z"")"),44798.0)</f>
        <v>44798</v>
      </c>
      <c r="M879" s="8">
        <f>IFERROR(__xludf.DUMMYFUNCTION("""COMPUTED_VALUE"""),0.30496527777777777)</f>
        <v>0.3049652778</v>
      </c>
      <c r="N879" s="10">
        <f t="shared" si="2"/>
        <v>127.3191667</v>
      </c>
      <c r="O879" s="11">
        <f t="shared" si="3"/>
        <v>0.7659235669</v>
      </c>
    </row>
    <row r="880">
      <c r="A880" s="1" t="s">
        <v>2658</v>
      </c>
      <c r="B880" s="1" t="s">
        <v>2659</v>
      </c>
      <c r="C880" s="1" t="s">
        <v>2660</v>
      </c>
      <c r="D880" s="1">
        <v>170.0</v>
      </c>
      <c r="E880" s="1" t="s">
        <v>48</v>
      </c>
      <c r="F880" s="1">
        <v>3035.0</v>
      </c>
      <c r="G880" s="1">
        <v>4190.0</v>
      </c>
      <c r="H880" s="1">
        <v>3930.0</v>
      </c>
      <c r="I880" s="7">
        <f>IFERROR(__xludf.DUMMYFUNCTION("SPLIT(B880,""T""""Z"")"),42397.0)</f>
        <v>42397</v>
      </c>
      <c r="J880" s="8">
        <f>IFERROR(__xludf.DUMMYFUNCTION("""COMPUTED_VALUE"""),0.7703009259259259)</f>
        <v>0.7703009259</v>
      </c>
      <c r="K880" s="9">
        <f t="shared" si="1"/>
        <v>6</v>
      </c>
      <c r="L880" s="7">
        <f>IFERROR(__xludf.DUMMYFUNCTION("SPLIT(C880,""T""""Z"")"),44798.0)</f>
        <v>44798</v>
      </c>
      <c r="M880" s="8">
        <f>IFERROR(__xludf.DUMMYFUNCTION("""COMPUTED_VALUE"""),0.49309027777777775)</f>
        <v>0.4930902778</v>
      </c>
      <c r="N880" s="10">
        <f t="shared" si="2"/>
        <v>131.8341667</v>
      </c>
      <c r="O880" s="11">
        <f t="shared" si="3"/>
        <v>0.937947494</v>
      </c>
    </row>
    <row r="881">
      <c r="A881" s="1" t="s">
        <v>2661</v>
      </c>
      <c r="B881" s="1" t="s">
        <v>2662</v>
      </c>
      <c r="C881" s="1" t="s">
        <v>2663</v>
      </c>
      <c r="D881" s="1">
        <v>0.0</v>
      </c>
      <c r="E881" s="13" t="s">
        <v>22</v>
      </c>
      <c r="F881" s="1">
        <v>160.0</v>
      </c>
      <c r="G881" s="1">
        <v>208.0</v>
      </c>
      <c r="H881" s="1">
        <v>176.0</v>
      </c>
      <c r="I881" s="7">
        <f>IFERROR(__xludf.DUMMYFUNCTION("SPLIT(B881,""T""""Z"")"),44661.0)</f>
        <v>44661</v>
      </c>
      <c r="J881" s="8">
        <f>IFERROR(__xludf.DUMMYFUNCTION("""COMPUTED_VALUE"""),0.23796296296296296)</f>
        <v>0.237962963</v>
      </c>
      <c r="K881" s="9">
        <f t="shared" si="1"/>
        <v>0</v>
      </c>
      <c r="L881" s="7">
        <f>IFERROR(__xludf.DUMMYFUNCTION("SPLIT(C881,""T""""Z"")"),44798.0)</f>
        <v>44798</v>
      </c>
      <c r="M881" s="8">
        <f>IFERROR(__xludf.DUMMYFUNCTION("""COMPUTED_VALUE"""),0.5996296296296296)</f>
        <v>0.5996296296</v>
      </c>
      <c r="N881" s="12">
        <f t="shared" si="2"/>
        <v>134.3911111</v>
      </c>
      <c r="O881" s="11">
        <f t="shared" si="3"/>
        <v>0.8461538462</v>
      </c>
    </row>
    <row r="882">
      <c r="A882" s="1" t="s">
        <v>2664</v>
      </c>
      <c r="B882" s="1" t="s">
        <v>2665</v>
      </c>
      <c r="C882" s="1" t="s">
        <v>2666</v>
      </c>
      <c r="D882" s="1">
        <v>48.0</v>
      </c>
      <c r="E882" s="1" t="s">
        <v>953</v>
      </c>
      <c r="F882" s="1">
        <v>45.0</v>
      </c>
      <c r="G882" s="1">
        <v>1596.0</v>
      </c>
      <c r="H882" s="1">
        <v>803.0</v>
      </c>
      <c r="I882" s="7">
        <f>IFERROR(__xludf.DUMMYFUNCTION("SPLIT(B882,""T""""Z"")"),43580.0)</f>
        <v>43580</v>
      </c>
      <c r="J882" s="8">
        <f>IFERROR(__xludf.DUMMYFUNCTION("""COMPUTED_VALUE"""),0.12657407407407406)</f>
        <v>0.1265740741</v>
      </c>
      <c r="K882" s="9">
        <f t="shared" si="1"/>
        <v>3</v>
      </c>
      <c r="L882" s="7">
        <f>IFERROR(__xludf.DUMMYFUNCTION("SPLIT(C882,""T""""Z"")"),44798.0)</f>
        <v>44798</v>
      </c>
      <c r="M882" s="8">
        <f>IFERROR(__xludf.DUMMYFUNCTION("""COMPUTED_VALUE"""),0.38025462962962964)</f>
        <v>0.3802546296</v>
      </c>
      <c r="N882" s="10">
        <f t="shared" si="2"/>
        <v>129.1261111</v>
      </c>
      <c r="O882" s="11">
        <f t="shared" si="3"/>
        <v>0.5031328321</v>
      </c>
    </row>
    <row r="883">
      <c r="A883" s="1" t="s">
        <v>2667</v>
      </c>
      <c r="B883" s="1" t="s">
        <v>2668</v>
      </c>
      <c r="C883" s="1" t="s">
        <v>2669</v>
      </c>
      <c r="D883" s="1">
        <v>18.0</v>
      </c>
      <c r="E883" s="1" t="s">
        <v>95</v>
      </c>
      <c r="F883" s="1">
        <v>171.0</v>
      </c>
      <c r="G883" s="1">
        <v>343.0</v>
      </c>
      <c r="H883" s="1">
        <v>341.0</v>
      </c>
      <c r="I883" s="7">
        <f>IFERROR(__xludf.DUMMYFUNCTION("SPLIT(B883,""T""""Z"")"),41870.0)</f>
        <v>41870</v>
      </c>
      <c r="J883" s="8">
        <f>IFERROR(__xludf.DUMMYFUNCTION("""COMPUTED_VALUE"""),0.15738425925925925)</f>
        <v>0.1573842593</v>
      </c>
      <c r="K883" s="9">
        <f t="shared" si="1"/>
        <v>8</v>
      </c>
      <c r="L883" s="7">
        <f>IFERROR(__xludf.DUMMYFUNCTION("SPLIT(C883,""T""""Z"")"),44798.0)</f>
        <v>44798</v>
      </c>
      <c r="M883" s="8">
        <f>IFERROR(__xludf.DUMMYFUNCTION("""COMPUTED_VALUE"""),0.40155092592592595)</f>
        <v>0.4015509259</v>
      </c>
      <c r="N883" s="10">
        <f t="shared" si="2"/>
        <v>129.6372222</v>
      </c>
      <c r="O883" s="11">
        <f t="shared" si="3"/>
        <v>0.9941690962</v>
      </c>
    </row>
    <row r="884">
      <c r="A884" s="1" t="s">
        <v>2670</v>
      </c>
      <c r="B884" s="1" t="s">
        <v>2671</v>
      </c>
      <c r="C884" s="1" t="s">
        <v>2672</v>
      </c>
      <c r="D884" s="1">
        <v>0.0</v>
      </c>
      <c r="E884" s="1" t="s">
        <v>88</v>
      </c>
      <c r="F884" s="1">
        <v>276.0</v>
      </c>
      <c r="G884" s="1">
        <v>692.0</v>
      </c>
      <c r="H884" s="1">
        <v>602.0</v>
      </c>
      <c r="I884" s="7">
        <f>IFERROR(__xludf.DUMMYFUNCTION("SPLIT(B884,""T""""Z"")"),41784.0)</f>
        <v>41784</v>
      </c>
      <c r="J884" s="8">
        <f>IFERROR(__xludf.DUMMYFUNCTION("""COMPUTED_VALUE"""),0.7023495370370371)</f>
        <v>0.702349537</v>
      </c>
      <c r="K884" s="9">
        <f t="shared" si="1"/>
        <v>8</v>
      </c>
      <c r="L884" s="7">
        <f>IFERROR(__xludf.DUMMYFUNCTION("SPLIT(C884,""T""""Z"")"),44798.0)</f>
        <v>44798</v>
      </c>
      <c r="M884" s="8">
        <f>IFERROR(__xludf.DUMMYFUNCTION("""COMPUTED_VALUE"""),0.3596412037037037)</f>
        <v>0.3596412037</v>
      </c>
      <c r="N884" s="10">
        <f t="shared" si="2"/>
        <v>128.6313889</v>
      </c>
      <c r="O884" s="11">
        <f t="shared" si="3"/>
        <v>0.8699421965</v>
      </c>
    </row>
    <row r="885">
      <c r="A885" s="1" t="s">
        <v>2673</v>
      </c>
      <c r="B885" s="1" t="s">
        <v>2674</v>
      </c>
      <c r="C885" s="1" t="s">
        <v>2675</v>
      </c>
      <c r="D885" s="1">
        <v>112.0</v>
      </c>
      <c r="E885" s="1" t="s">
        <v>95</v>
      </c>
      <c r="F885" s="1">
        <v>302.0</v>
      </c>
      <c r="G885" s="1">
        <v>4005.0</v>
      </c>
      <c r="H885" s="1">
        <v>3703.0</v>
      </c>
      <c r="I885" s="7">
        <f>IFERROR(__xludf.DUMMYFUNCTION("SPLIT(B885,""T""""Z"")"),41650.0)</f>
        <v>41650</v>
      </c>
      <c r="J885" s="8">
        <f>IFERROR(__xludf.DUMMYFUNCTION("""COMPUTED_VALUE"""),0.5877893518518519)</f>
        <v>0.5877893519</v>
      </c>
      <c r="K885" s="9">
        <f t="shared" si="1"/>
        <v>8</v>
      </c>
      <c r="L885" s="7">
        <f>IFERROR(__xludf.DUMMYFUNCTION("SPLIT(C885,""T""""Z"")"),44798.0)</f>
        <v>44798</v>
      </c>
      <c r="M885" s="8">
        <f>IFERROR(__xludf.DUMMYFUNCTION("""COMPUTED_VALUE"""),0.5806134259259259)</f>
        <v>0.5806134259</v>
      </c>
      <c r="N885" s="10">
        <f t="shared" si="2"/>
        <v>133.9347222</v>
      </c>
      <c r="O885" s="11">
        <f t="shared" si="3"/>
        <v>0.9245942572</v>
      </c>
    </row>
    <row r="886">
      <c r="A886" s="1" t="s">
        <v>2676</v>
      </c>
      <c r="B886" s="1" t="s">
        <v>2677</v>
      </c>
      <c r="C886" s="1" t="s">
        <v>2678</v>
      </c>
      <c r="D886" s="1">
        <v>13.0</v>
      </c>
      <c r="E886" s="1" t="s">
        <v>18</v>
      </c>
      <c r="F886" s="1">
        <v>19.0</v>
      </c>
      <c r="G886" s="1">
        <v>223.0</v>
      </c>
      <c r="H886" s="1">
        <v>105.0</v>
      </c>
      <c r="I886" s="7">
        <f>IFERROR(__xludf.DUMMYFUNCTION("SPLIT(B886,""T""""Z"")"),43335.0)</f>
        <v>43335</v>
      </c>
      <c r="J886" s="8">
        <f>IFERROR(__xludf.DUMMYFUNCTION("""COMPUTED_VALUE"""),0.21155092592592592)</f>
        <v>0.2115509259</v>
      </c>
      <c r="K886" s="9">
        <f t="shared" si="1"/>
        <v>4</v>
      </c>
      <c r="L886" s="7">
        <f>IFERROR(__xludf.DUMMYFUNCTION("SPLIT(C886,""T""""Z"")"),44798.0)</f>
        <v>44798</v>
      </c>
      <c r="M886" s="8">
        <f>IFERROR(__xludf.DUMMYFUNCTION("""COMPUTED_VALUE"""),0.5941550925925926)</f>
        <v>0.5941550926</v>
      </c>
      <c r="N886" s="10">
        <f t="shared" si="2"/>
        <v>134.2597222</v>
      </c>
      <c r="O886" s="11">
        <f t="shared" si="3"/>
        <v>0.4708520179</v>
      </c>
    </row>
    <row r="887">
      <c r="A887" s="1" t="s">
        <v>2679</v>
      </c>
      <c r="B887" s="1" t="s">
        <v>2680</v>
      </c>
      <c r="C887" s="1" t="s">
        <v>2681</v>
      </c>
      <c r="D887" s="1">
        <v>34.0</v>
      </c>
      <c r="E887" s="1" t="s">
        <v>48</v>
      </c>
      <c r="F887" s="1">
        <v>520.0</v>
      </c>
      <c r="G887" s="1">
        <v>874.0</v>
      </c>
      <c r="H887" s="1">
        <v>643.0</v>
      </c>
      <c r="I887" s="7">
        <f>IFERROR(__xludf.DUMMYFUNCTION("SPLIT(B887,""T""""Z"")"),40915.0)</f>
        <v>40915</v>
      </c>
      <c r="J887" s="8">
        <f>IFERROR(__xludf.DUMMYFUNCTION("""COMPUTED_VALUE"""),0.022002314814814815)</f>
        <v>0.02200231481</v>
      </c>
      <c r="K887" s="9">
        <f t="shared" si="1"/>
        <v>10</v>
      </c>
      <c r="L887" s="7">
        <f>IFERROR(__xludf.DUMMYFUNCTION("SPLIT(C887,""T""""Z"")"),44797.0)</f>
        <v>44797</v>
      </c>
      <c r="M887" s="8">
        <f>IFERROR(__xludf.DUMMYFUNCTION("""COMPUTED_VALUE"""),0.7669560185185185)</f>
        <v>0.7669560185</v>
      </c>
      <c r="N887" s="10">
        <f t="shared" si="2"/>
        <v>162.4069444</v>
      </c>
      <c r="O887" s="11">
        <f t="shared" si="3"/>
        <v>0.7356979405</v>
      </c>
    </row>
    <row r="888">
      <c r="A888" s="1" t="s">
        <v>2682</v>
      </c>
      <c r="B888" s="1" t="s">
        <v>2683</v>
      </c>
      <c r="C888" s="1" t="s">
        <v>2684</v>
      </c>
      <c r="D888" s="1">
        <v>0.0</v>
      </c>
      <c r="E888" s="1" t="s">
        <v>95</v>
      </c>
      <c r="F888" s="1">
        <v>6528.0</v>
      </c>
      <c r="G888" s="1">
        <v>0.0</v>
      </c>
      <c r="H888" s="1">
        <v>0.0</v>
      </c>
      <c r="I888" s="7">
        <f>IFERROR(__xludf.DUMMYFUNCTION("SPLIT(B888,""T""""Z"")"),41797.0)</f>
        <v>41797</v>
      </c>
      <c r="J888" s="8">
        <f>IFERROR(__xludf.DUMMYFUNCTION("""COMPUTED_VALUE"""),0.2917824074074074)</f>
        <v>0.2917824074</v>
      </c>
      <c r="K888" s="9">
        <f t="shared" si="1"/>
        <v>8</v>
      </c>
      <c r="L888" s="7">
        <f>IFERROR(__xludf.DUMMYFUNCTION("SPLIT(C888,""T""""Z"")"),44798.0)</f>
        <v>44798</v>
      </c>
      <c r="M888" s="8">
        <f>IFERROR(__xludf.DUMMYFUNCTION("""COMPUTED_VALUE"""),0.5526041666666667)</f>
        <v>0.5526041667</v>
      </c>
      <c r="N888" s="10">
        <f t="shared" si="2"/>
        <v>133.2625</v>
      </c>
      <c r="O888" s="11">
        <f t="shared" si="3"/>
        <v>0</v>
      </c>
    </row>
    <row r="889">
      <c r="A889" s="1" t="s">
        <v>2685</v>
      </c>
      <c r="B889" s="1" t="s">
        <v>2686</v>
      </c>
      <c r="C889" s="1" t="s">
        <v>2687</v>
      </c>
      <c r="D889" s="1">
        <v>0.0</v>
      </c>
      <c r="E889" s="1" t="s">
        <v>186</v>
      </c>
      <c r="F889" s="1">
        <v>25.0</v>
      </c>
      <c r="G889" s="1">
        <v>74.0</v>
      </c>
      <c r="H889" s="1">
        <v>61.0</v>
      </c>
      <c r="I889" s="7">
        <f>IFERROR(__xludf.DUMMYFUNCTION("SPLIT(B889,""T""""Z"")"),43079.0)</f>
        <v>43079</v>
      </c>
      <c r="J889" s="8">
        <f>IFERROR(__xludf.DUMMYFUNCTION("""COMPUTED_VALUE"""),0.5619791666666667)</f>
        <v>0.5619791667</v>
      </c>
      <c r="K889" s="9">
        <f t="shared" si="1"/>
        <v>4</v>
      </c>
      <c r="L889" s="7">
        <f>IFERROR(__xludf.DUMMYFUNCTION("SPLIT(C889,""T""""Z"")"),44798.0)</f>
        <v>44798</v>
      </c>
      <c r="M889" s="8">
        <f>IFERROR(__xludf.DUMMYFUNCTION("""COMPUTED_VALUE"""),0.28528935185185184)</f>
        <v>0.2852893519</v>
      </c>
      <c r="N889" s="10">
        <f t="shared" si="2"/>
        <v>126.8469444</v>
      </c>
      <c r="O889" s="11">
        <f t="shared" si="3"/>
        <v>0.8243243243</v>
      </c>
    </row>
    <row r="890">
      <c r="A890" s="1" t="s">
        <v>2688</v>
      </c>
      <c r="B890" s="1" t="s">
        <v>2689</v>
      </c>
      <c r="C890" s="1" t="s">
        <v>2690</v>
      </c>
      <c r="D890" s="1">
        <v>18.0</v>
      </c>
      <c r="E890" s="1" t="s">
        <v>111</v>
      </c>
      <c r="F890" s="1">
        <v>221.0</v>
      </c>
      <c r="G890" s="1">
        <v>120.0</v>
      </c>
      <c r="H890" s="1">
        <v>73.0</v>
      </c>
      <c r="I890" s="7">
        <f>IFERROR(__xludf.DUMMYFUNCTION("SPLIT(B890,""T""""Z"")"),42686.0)</f>
        <v>42686</v>
      </c>
      <c r="J890" s="8">
        <f>IFERROR(__xludf.DUMMYFUNCTION("""COMPUTED_VALUE"""),0.6558564814814815)</f>
        <v>0.6558564815</v>
      </c>
      <c r="K890" s="9">
        <f t="shared" si="1"/>
        <v>5</v>
      </c>
      <c r="L890" s="7">
        <f>IFERROR(__xludf.DUMMYFUNCTION("SPLIT(C890,""T""""Z"")"),44798.0)</f>
        <v>44798</v>
      </c>
      <c r="M890" s="8">
        <f>IFERROR(__xludf.DUMMYFUNCTION("""COMPUTED_VALUE"""),0.4085185185185185)</f>
        <v>0.4085185185</v>
      </c>
      <c r="N890" s="10">
        <f t="shared" si="2"/>
        <v>129.8044444</v>
      </c>
      <c r="O890" s="11">
        <f t="shared" si="3"/>
        <v>0.6083333333</v>
      </c>
    </row>
    <row r="891">
      <c r="A891" s="1" t="s">
        <v>2691</v>
      </c>
      <c r="B891" s="1" t="s">
        <v>2692</v>
      </c>
      <c r="C891" s="1" t="s">
        <v>2693</v>
      </c>
      <c r="D891" s="1">
        <v>0.0</v>
      </c>
      <c r="E891" s="1" t="s">
        <v>68</v>
      </c>
      <c r="F891" s="1">
        <v>34.0</v>
      </c>
      <c r="G891" s="1">
        <v>1103.0</v>
      </c>
      <c r="H891" s="1">
        <v>1103.0</v>
      </c>
      <c r="I891" s="7">
        <f>IFERROR(__xludf.DUMMYFUNCTION("SPLIT(B891,""T""""Z"")"),42376.0)</f>
        <v>42376</v>
      </c>
      <c r="J891" s="8">
        <f>IFERROR(__xludf.DUMMYFUNCTION("""COMPUTED_VALUE"""),0.6973611111111111)</f>
        <v>0.6973611111</v>
      </c>
      <c r="K891" s="9">
        <f t="shared" si="1"/>
        <v>6</v>
      </c>
      <c r="L891" s="7">
        <f>IFERROR(__xludf.DUMMYFUNCTION("SPLIT(C891,""T""""Z"")"),44798.0)</f>
        <v>44798</v>
      </c>
      <c r="M891" s="8">
        <f>IFERROR(__xludf.DUMMYFUNCTION("""COMPUTED_VALUE"""),0.5168634259259259)</f>
        <v>0.5168634259</v>
      </c>
      <c r="N891" s="10">
        <f t="shared" si="2"/>
        <v>132.4047222</v>
      </c>
      <c r="O891" s="11">
        <f t="shared" si="3"/>
        <v>1</v>
      </c>
    </row>
    <row r="892">
      <c r="A892" s="1" t="s">
        <v>2694</v>
      </c>
      <c r="B892" s="1" t="s">
        <v>2695</v>
      </c>
      <c r="C892" s="1" t="s">
        <v>2696</v>
      </c>
      <c r="D892" s="1">
        <v>80.0</v>
      </c>
      <c r="E892" s="1" t="s">
        <v>38</v>
      </c>
      <c r="F892" s="1">
        <v>577.0</v>
      </c>
      <c r="G892" s="1">
        <v>1347.0</v>
      </c>
      <c r="H892" s="1">
        <v>1335.0</v>
      </c>
      <c r="I892" s="7">
        <f>IFERROR(__xludf.DUMMYFUNCTION("SPLIT(B892,""T""""Z"")"),40591.0)</f>
        <v>40591</v>
      </c>
      <c r="J892" s="8">
        <f>IFERROR(__xludf.DUMMYFUNCTION("""COMPUTED_VALUE"""),0.46392361111111113)</f>
        <v>0.4639236111</v>
      </c>
      <c r="K892" s="9">
        <f t="shared" si="1"/>
        <v>11</v>
      </c>
      <c r="L892" s="7">
        <f>IFERROR(__xludf.DUMMYFUNCTION("SPLIT(C892,""T""""Z"")"),44798.0)</f>
        <v>44798</v>
      </c>
      <c r="M892" s="8">
        <f>IFERROR(__xludf.DUMMYFUNCTION("""COMPUTED_VALUE"""),0.5313078703703704)</f>
        <v>0.5313078704</v>
      </c>
      <c r="N892" s="10">
        <f t="shared" si="2"/>
        <v>132.7513889</v>
      </c>
      <c r="O892" s="11">
        <f t="shared" si="3"/>
        <v>0.991091314</v>
      </c>
    </row>
    <row r="893">
      <c r="A893" s="1" t="s">
        <v>2697</v>
      </c>
      <c r="B893" s="1" t="s">
        <v>2698</v>
      </c>
      <c r="C893" s="1" t="s">
        <v>2699</v>
      </c>
      <c r="D893" s="1">
        <v>0.0</v>
      </c>
      <c r="E893" s="1" t="s">
        <v>621</v>
      </c>
      <c r="F893" s="1">
        <v>2.0</v>
      </c>
      <c r="G893" s="1">
        <v>24.0</v>
      </c>
      <c r="H893" s="1">
        <v>14.0</v>
      </c>
      <c r="I893" s="7">
        <f>IFERROR(__xludf.DUMMYFUNCTION("SPLIT(B893,""T""""Z"")"),43405.0)</f>
        <v>43405</v>
      </c>
      <c r="J893" s="8">
        <f>IFERROR(__xludf.DUMMYFUNCTION("""COMPUTED_VALUE"""),0.19049768518518517)</f>
        <v>0.1904976852</v>
      </c>
      <c r="K893" s="9">
        <f t="shared" si="1"/>
        <v>3</v>
      </c>
      <c r="L893" s="7">
        <f>IFERROR(__xludf.DUMMYFUNCTION("SPLIT(C893,""T""""Z"")"),44798.0)</f>
        <v>44798</v>
      </c>
      <c r="M893" s="8">
        <f>IFERROR(__xludf.DUMMYFUNCTION("""COMPUTED_VALUE"""),0.5963541666666666)</f>
        <v>0.5963541667</v>
      </c>
      <c r="N893" s="10">
        <f t="shared" si="2"/>
        <v>134.3125</v>
      </c>
      <c r="O893" s="11">
        <f t="shared" si="3"/>
        <v>0.5833333333</v>
      </c>
    </row>
    <row r="894">
      <c r="A894" s="1" t="s">
        <v>2700</v>
      </c>
      <c r="B894" s="1" t="s">
        <v>2701</v>
      </c>
      <c r="C894" s="1" t="s">
        <v>2702</v>
      </c>
      <c r="D894" s="1">
        <v>13.0</v>
      </c>
      <c r="E894" s="1" t="s">
        <v>48</v>
      </c>
      <c r="F894" s="1">
        <v>35.0</v>
      </c>
      <c r="G894" s="1">
        <v>1649.0</v>
      </c>
      <c r="H894" s="1">
        <v>1002.0</v>
      </c>
      <c r="I894" s="7">
        <f>IFERROR(__xludf.DUMMYFUNCTION("SPLIT(B894,""T""""Z"")"),41357.0)</f>
        <v>41357</v>
      </c>
      <c r="J894" s="8">
        <f>IFERROR(__xludf.DUMMYFUNCTION("""COMPUTED_VALUE"""),0.5736805555555555)</f>
        <v>0.5736805556</v>
      </c>
      <c r="K894" s="9">
        <f t="shared" si="1"/>
        <v>9</v>
      </c>
      <c r="L894" s="7">
        <f>IFERROR(__xludf.DUMMYFUNCTION("SPLIT(C894,""T""""Z"")"),44798.0)</f>
        <v>44798</v>
      </c>
      <c r="M894" s="8">
        <f>IFERROR(__xludf.DUMMYFUNCTION("""COMPUTED_VALUE"""),0.5739930555555556)</f>
        <v>0.5739930556</v>
      </c>
      <c r="N894" s="10">
        <f t="shared" si="2"/>
        <v>133.7758333</v>
      </c>
      <c r="O894" s="11">
        <f t="shared" si="3"/>
        <v>0.6076409945</v>
      </c>
    </row>
    <row r="895">
      <c r="A895" s="1" t="s">
        <v>2703</v>
      </c>
      <c r="B895" s="1" t="s">
        <v>2704</v>
      </c>
      <c r="C895" s="1" t="s">
        <v>2705</v>
      </c>
      <c r="D895" s="1">
        <v>583.0</v>
      </c>
      <c r="E895" s="1" t="s">
        <v>52</v>
      </c>
      <c r="F895" s="1">
        <v>1032.0</v>
      </c>
      <c r="G895" s="1">
        <v>11465.0</v>
      </c>
      <c r="H895" s="1">
        <v>10695.0</v>
      </c>
      <c r="I895" s="7">
        <f>IFERROR(__xludf.DUMMYFUNCTION("SPLIT(B895,""T""""Z"")"),41761.0)</f>
        <v>41761</v>
      </c>
      <c r="J895" s="8">
        <f>IFERROR(__xludf.DUMMYFUNCTION("""COMPUTED_VALUE"""),0.5253587962962963)</f>
        <v>0.5253587963</v>
      </c>
      <c r="K895" s="9">
        <f t="shared" si="1"/>
        <v>8</v>
      </c>
      <c r="L895" s="7">
        <f>IFERROR(__xludf.DUMMYFUNCTION("SPLIT(C895,""T""""Z"")"),44798.0)</f>
        <v>44798</v>
      </c>
      <c r="M895" s="8">
        <f>IFERROR(__xludf.DUMMYFUNCTION("""COMPUTED_VALUE"""),0.601574074074074)</f>
        <v>0.6015740741</v>
      </c>
      <c r="N895" s="10">
        <f t="shared" si="2"/>
        <v>134.4377778</v>
      </c>
      <c r="O895" s="11">
        <f t="shared" si="3"/>
        <v>0.9328390754</v>
      </c>
    </row>
    <row r="896">
      <c r="A896" s="1" t="s">
        <v>2706</v>
      </c>
      <c r="B896" s="1" t="s">
        <v>2707</v>
      </c>
      <c r="C896" s="1" t="s">
        <v>2708</v>
      </c>
      <c r="D896" s="1">
        <v>67.0</v>
      </c>
      <c r="E896" s="1" t="s">
        <v>48</v>
      </c>
      <c r="F896" s="1">
        <v>1457.0</v>
      </c>
      <c r="G896" s="1">
        <v>1434.0</v>
      </c>
      <c r="H896" s="1">
        <v>1317.0</v>
      </c>
      <c r="I896" s="7">
        <f>IFERROR(__xludf.DUMMYFUNCTION("SPLIT(B896,""T""""Z"")"),42583.0)</f>
        <v>42583</v>
      </c>
      <c r="J896" s="8">
        <f>IFERROR(__xludf.DUMMYFUNCTION("""COMPUTED_VALUE"""),0.8714583333333333)</f>
        <v>0.8714583333</v>
      </c>
      <c r="K896" s="9">
        <f t="shared" si="1"/>
        <v>6</v>
      </c>
      <c r="L896" s="7">
        <f>IFERROR(__xludf.DUMMYFUNCTION("SPLIT(C896,""T""""Z"")"),44798.0)</f>
        <v>44798</v>
      </c>
      <c r="M896" s="8">
        <f>IFERROR(__xludf.DUMMYFUNCTION("""COMPUTED_VALUE"""),0.6018402777777778)</f>
        <v>0.6018402778</v>
      </c>
      <c r="N896" s="10">
        <f t="shared" si="2"/>
        <v>134.4441667</v>
      </c>
      <c r="O896" s="11">
        <f t="shared" si="3"/>
        <v>0.9184100418</v>
      </c>
    </row>
    <row r="897">
      <c r="A897" s="1" t="s">
        <v>2709</v>
      </c>
      <c r="B897" s="1" t="s">
        <v>2710</v>
      </c>
      <c r="C897" s="1" t="s">
        <v>2711</v>
      </c>
      <c r="D897" s="1">
        <v>0.0</v>
      </c>
      <c r="E897" s="1" t="s">
        <v>161</v>
      </c>
      <c r="F897" s="1">
        <v>664.0</v>
      </c>
      <c r="G897" s="1">
        <v>528.0</v>
      </c>
      <c r="H897" s="1">
        <v>397.0</v>
      </c>
      <c r="I897" s="7">
        <f>IFERROR(__xludf.DUMMYFUNCTION("SPLIT(B897,""T""""Z"")"),42486.0)</f>
        <v>42486</v>
      </c>
      <c r="J897" s="8">
        <f>IFERROR(__xludf.DUMMYFUNCTION("""COMPUTED_VALUE"""),0.9606828703703704)</f>
        <v>0.9606828704</v>
      </c>
      <c r="K897" s="9">
        <f t="shared" si="1"/>
        <v>6</v>
      </c>
      <c r="L897" s="7">
        <f>IFERROR(__xludf.DUMMYFUNCTION("SPLIT(C897,""T""""Z"")"),44798.0)</f>
        <v>44798</v>
      </c>
      <c r="M897" s="8">
        <f>IFERROR(__xludf.DUMMYFUNCTION("""COMPUTED_VALUE"""),0.43123842592592593)</f>
        <v>0.4312384259</v>
      </c>
      <c r="N897" s="10">
        <f t="shared" si="2"/>
        <v>130.3497222</v>
      </c>
      <c r="O897" s="11">
        <f t="shared" si="3"/>
        <v>0.7518939394</v>
      </c>
    </row>
    <row r="898">
      <c r="A898" s="1" t="s">
        <v>2712</v>
      </c>
      <c r="B898" s="1" t="s">
        <v>2713</v>
      </c>
      <c r="C898" s="1" t="s">
        <v>2714</v>
      </c>
      <c r="D898" s="1">
        <v>93.0</v>
      </c>
      <c r="E898" s="1" t="s">
        <v>38</v>
      </c>
      <c r="F898" s="1">
        <v>946.0</v>
      </c>
      <c r="G898" s="1">
        <v>1705.0</v>
      </c>
      <c r="H898" s="1">
        <v>1683.0</v>
      </c>
      <c r="I898" s="7">
        <f>IFERROR(__xludf.DUMMYFUNCTION("SPLIT(B898,""T""""Z"")"),42192.0)</f>
        <v>42192</v>
      </c>
      <c r="J898" s="8">
        <f>IFERROR(__xludf.DUMMYFUNCTION("""COMPUTED_VALUE"""),0.6462847222222222)</f>
        <v>0.6462847222</v>
      </c>
      <c r="K898" s="9">
        <f t="shared" si="1"/>
        <v>7</v>
      </c>
      <c r="L898" s="7">
        <f>IFERROR(__xludf.DUMMYFUNCTION("SPLIT(C898,""T""""Z"")"),44798.0)</f>
        <v>44798</v>
      </c>
      <c r="M898" s="8">
        <f>IFERROR(__xludf.DUMMYFUNCTION("""COMPUTED_VALUE"""),0.5443402777777778)</f>
        <v>0.5443402778</v>
      </c>
      <c r="N898" s="10">
        <f t="shared" si="2"/>
        <v>133.0641667</v>
      </c>
      <c r="O898" s="11">
        <f t="shared" si="3"/>
        <v>0.9870967742</v>
      </c>
    </row>
    <row r="899">
      <c r="A899" s="1" t="s">
        <v>2715</v>
      </c>
      <c r="B899" s="1" t="s">
        <v>2716</v>
      </c>
      <c r="C899" s="1" t="s">
        <v>2717</v>
      </c>
      <c r="D899" s="1">
        <v>0.0</v>
      </c>
      <c r="E899" s="1" t="s">
        <v>439</v>
      </c>
      <c r="F899" s="1">
        <v>11450.0</v>
      </c>
      <c r="G899" s="1">
        <v>4846.0</v>
      </c>
      <c r="H899" s="1">
        <v>4367.0</v>
      </c>
      <c r="I899" s="7">
        <f>IFERROR(__xludf.DUMMYFUNCTION("SPLIT(B899,""T""""Z"")"),42687.0)</f>
        <v>42687</v>
      </c>
      <c r="J899" s="8">
        <f>IFERROR(__xludf.DUMMYFUNCTION("""COMPUTED_VALUE"""),0.9598726851851852)</f>
        <v>0.9598726852</v>
      </c>
      <c r="K899" s="9">
        <f t="shared" si="1"/>
        <v>5</v>
      </c>
      <c r="L899" s="7">
        <f>IFERROR(__xludf.DUMMYFUNCTION("SPLIT(C899,""T""""Z"")"),44798.0)</f>
        <v>44798</v>
      </c>
      <c r="M899" s="8">
        <f>IFERROR(__xludf.DUMMYFUNCTION("""COMPUTED_VALUE"""),0.5423032407407408)</f>
        <v>0.5423032407</v>
      </c>
      <c r="N899" s="10">
        <f t="shared" si="2"/>
        <v>133.0152778</v>
      </c>
      <c r="O899" s="11">
        <f t="shared" si="3"/>
        <v>0.9011555922</v>
      </c>
    </row>
    <row r="900">
      <c r="A900" s="1" t="s">
        <v>2718</v>
      </c>
      <c r="B900" s="1" t="s">
        <v>2719</v>
      </c>
      <c r="C900" s="1" t="s">
        <v>2720</v>
      </c>
      <c r="D900" s="1">
        <v>0.0</v>
      </c>
      <c r="E900" s="1" t="s">
        <v>48</v>
      </c>
      <c r="F900" s="1">
        <v>971.0</v>
      </c>
      <c r="G900" s="1">
        <v>120.0</v>
      </c>
      <c r="H900" s="1">
        <v>104.0</v>
      </c>
      <c r="I900" s="7">
        <f>IFERROR(__xludf.DUMMYFUNCTION("SPLIT(B900,""T""""Z"")"),42290.0)</f>
        <v>42290</v>
      </c>
      <c r="J900" s="8">
        <f>IFERROR(__xludf.DUMMYFUNCTION("""COMPUTED_VALUE"""),0.15931712962962963)</f>
        <v>0.1593171296</v>
      </c>
      <c r="K900" s="9">
        <f t="shared" si="1"/>
        <v>6</v>
      </c>
      <c r="L900" s="7">
        <f>IFERROR(__xludf.DUMMYFUNCTION("SPLIT(C900,""T""""Z"")"),44798.0)</f>
        <v>44798</v>
      </c>
      <c r="M900" s="8">
        <f>IFERROR(__xludf.DUMMYFUNCTION("""COMPUTED_VALUE"""),0.5460879629629629)</f>
        <v>0.546087963</v>
      </c>
      <c r="N900" s="10">
        <f t="shared" si="2"/>
        <v>133.1061111</v>
      </c>
      <c r="O900" s="11">
        <f t="shared" si="3"/>
        <v>0.8666666667</v>
      </c>
    </row>
    <row r="901">
      <c r="A901" s="1" t="s">
        <v>2721</v>
      </c>
      <c r="B901" s="1" t="s">
        <v>2722</v>
      </c>
      <c r="C901" s="1" t="s">
        <v>2723</v>
      </c>
      <c r="D901" s="1">
        <v>0.0</v>
      </c>
      <c r="E901" s="13" t="s">
        <v>22</v>
      </c>
      <c r="F901" s="1">
        <v>435.0</v>
      </c>
      <c r="G901" s="1">
        <v>38.0</v>
      </c>
      <c r="H901" s="1">
        <v>24.0</v>
      </c>
      <c r="I901" s="7">
        <f>IFERROR(__xludf.DUMMYFUNCTION("SPLIT(B901,""T""""Z"")"),43390.0)</f>
        <v>43390</v>
      </c>
      <c r="J901" s="8">
        <f>IFERROR(__xludf.DUMMYFUNCTION("""COMPUTED_VALUE"""),0.7456597222222222)</f>
        <v>0.7456597222</v>
      </c>
      <c r="K901" s="9">
        <f t="shared" si="1"/>
        <v>3</v>
      </c>
      <c r="L901" s="7">
        <f>IFERROR(__xludf.DUMMYFUNCTION("SPLIT(C901,""T""""Z"")"),44798.0)</f>
        <v>44798</v>
      </c>
      <c r="M901" s="8">
        <f>IFERROR(__xludf.DUMMYFUNCTION("""COMPUTED_VALUE"""),0.5260763888888889)</f>
        <v>0.5260763889</v>
      </c>
      <c r="N901" s="12">
        <f t="shared" si="2"/>
        <v>132.6258333</v>
      </c>
      <c r="O901" s="11">
        <f t="shared" si="3"/>
        <v>0.6315789474</v>
      </c>
    </row>
    <row r="902">
      <c r="A902" s="1" t="s">
        <v>2724</v>
      </c>
      <c r="B902" s="1" t="s">
        <v>2725</v>
      </c>
      <c r="C902" s="1" t="s">
        <v>2726</v>
      </c>
      <c r="D902" s="1">
        <v>0.0</v>
      </c>
      <c r="E902" s="1" t="s">
        <v>38</v>
      </c>
      <c r="F902" s="1">
        <v>138.0</v>
      </c>
      <c r="G902" s="1">
        <v>242.0</v>
      </c>
      <c r="H902" s="1">
        <v>230.0</v>
      </c>
      <c r="I902" s="7">
        <f>IFERROR(__xludf.DUMMYFUNCTION("SPLIT(B902,""T""""Z"")"),42247.0)</f>
        <v>42247</v>
      </c>
      <c r="J902" s="8">
        <f>IFERROR(__xludf.DUMMYFUNCTION("""COMPUTED_VALUE"""),0.1504050925925926)</f>
        <v>0.1504050926</v>
      </c>
      <c r="K902" s="9">
        <f t="shared" si="1"/>
        <v>6</v>
      </c>
      <c r="L902" s="7">
        <f>IFERROR(__xludf.DUMMYFUNCTION("SPLIT(C902,""T""""Z"")"),44798.0)</f>
        <v>44798</v>
      </c>
      <c r="M902" s="8">
        <f>IFERROR(__xludf.DUMMYFUNCTION("""COMPUTED_VALUE"""),0.022152777777777778)</f>
        <v>0.02215277778</v>
      </c>
      <c r="N902" s="10">
        <f t="shared" si="2"/>
        <v>120.5316667</v>
      </c>
      <c r="O902" s="11">
        <f t="shared" si="3"/>
        <v>0.9504132231</v>
      </c>
    </row>
    <row r="903">
      <c r="A903" s="1" t="s">
        <v>2727</v>
      </c>
      <c r="B903" s="1" t="s">
        <v>2728</v>
      </c>
      <c r="C903" s="1" t="s">
        <v>2729</v>
      </c>
      <c r="D903" s="1">
        <v>11.0</v>
      </c>
      <c r="E903" s="1" t="s">
        <v>88</v>
      </c>
      <c r="F903" s="1">
        <v>82.0</v>
      </c>
      <c r="G903" s="1">
        <v>481.0</v>
      </c>
      <c r="H903" s="1">
        <v>160.0</v>
      </c>
      <c r="I903" s="7">
        <f>IFERROR(__xludf.DUMMYFUNCTION("SPLIT(B903,""T""""Z"")"),41483.0)</f>
        <v>41483</v>
      </c>
      <c r="J903" s="8">
        <f>IFERROR(__xludf.DUMMYFUNCTION("""COMPUTED_VALUE"""),0.23302083333333334)</f>
        <v>0.2330208333</v>
      </c>
      <c r="K903" s="9">
        <f t="shared" si="1"/>
        <v>9</v>
      </c>
      <c r="L903" s="7">
        <f>IFERROR(__xludf.DUMMYFUNCTION("SPLIT(C903,""T""""Z"")"),44798.0)</f>
        <v>44798</v>
      </c>
      <c r="M903" s="8">
        <f>IFERROR(__xludf.DUMMYFUNCTION("""COMPUTED_VALUE"""),0.423125)</f>
        <v>0.423125</v>
      </c>
      <c r="N903" s="10">
        <f t="shared" si="2"/>
        <v>130.155</v>
      </c>
      <c r="O903" s="11">
        <f t="shared" si="3"/>
        <v>0.3326403326</v>
      </c>
    </row>
    <row r="904">
      <c r="A904" s="1" t="s">
        <v>2730</v>
      </c>
      <c r="B904" s="1" t="s">
        <v>2731</v>
      </c>
      <c r="C904" s="1" t="s">
        <v>2732</v>
      </c>
      <c r="D904" s="1">
        <v>37.0</v>
      </c>
      <c r="E904" s="1" t="s">
        <v>52</v>
      </c>
      <c r="F904" s="1">
        <v>1436.0</v>
      </c>
      <c r="G904" s="1">
        <v>6402.0</v>
      </c>
      <c r="H904" s="1">
        <v>5943.0</v>
      </c>
      <c r="I904" s="7">
        <f>IFERROR(__xludf.DUMMYFUNCTION("SPLIT(B904,""T""""Z"")"),41039.0)</f>
        <v>41039</v>
      </c>
      <c r="J904" s="8">
        <f>IFERROR(__xludf.DUMMYFUNCTION("""COMPUTED_VALUE"""),0.12563657407407408)</f>
        <v>0.1256365741</v>
      </c>
      <c r="K904" s="9">
        <f t="shared" si="1"/>
        <v>10</v>
      </c>
      <c r="L904" s="7">
        <f>IFERROR(__xludf.DUMMYFUNCTION("SPLIT(C904,""T""""Z"")"),44798.0)</f>
        <v>44798</v>
      </c>
      <c r="M904" s="8">
        <f>IFERROR(__xludf.DUMMYFUNCTION("""COMPUTED_VALUE"""),0.5813310185185185)</f>
        <v>0.5813310185</v>
      </c>
      <c r="N904" s="10">
        <f t="shared" si="2"/>
        <v>133.9519444</v>
      </c>
      <c r="O904" s="11">
        <f t="shared" si="3"/>
        <v>0.9283036551</v>
      </c>
    </row>
    <row r="905">
      <c r="A905" s="1" t="s">
        <v>2733</v>
      </c>
      <c r="B905" s="1" t="s">
        <v>2734</v>
      </c>
      <c r="C905" s="1" t="s">
        <v>2735</v>
      </c>
      <c r="D905" s="1">
        <v>0.0</v>
      </c>
      <c r="E905" s="1" t="s">
        <v>439</v>
      </c>
      <c r="F905" s="1">
        <v>2936.0</v>
      </c>
      <c r="G905" s="1">
        <v>0.0</v>
      </c>
      <c r="H905" s="1">
        <v>0.0</v>
      </c>
      <c r="I905" s="7">
        <f>IFERROR(__xludf.DUMMYFUNCTION("SPLIT(B905,""T""""Z"")"),40236.0)</f>
        <v>40236</v>
      </c>
      <c r="J905" s="8">
        <f>IFERROR(__xludf.DUMMYFUNCTION("""COMPUTED_VALUE"""),0.6634606481481482)</f>
        <v>0.6634606481</v>
      </c>
      <c r="K905" s="9">
        <f t="shared" si="1"/>
        <v>12</v>
      </c>
      <c r="L905" s="7">
        <f>IFERROR(__xludf.DUMMYFUNCTION("SPLIT(C905,""T""""Z"")"),44798.0)</f>
        <v>44798</v>
      </c>
      <c r="M905" s="8">
        <f>IFERROR(__xludf.DUMMYFUNCTION("""COMPUTED_VALUE"""),0.42171296296296296)</f>
        <v>0.421712963</v>
      </c>
      <c r="N905" s="10">
        <f t="shared" si="2"/>
        <v>130.1211111</v>
      </c>
      <c r="O905" s="11">
        <f t="shared" si="3"/>
        <v>0</v>
      </c>
    </row>
    <row r="906">
      <c r="A906" s="1" t="s">
        <v>2736</v>
      </c>
      <c r="B906" s="1" t="s">
        <v>2737</v>
      </c>
      <c r="C906" s="1" t="s">
        <v>2738</v>
      </c>
      <c r="D906" s="1">
        <v>187.0</v>
      </c>
      <c r="E906" s="1" t="s">
        <v>18</v>
      </c>
      <c r="F906" s="1">
        <v>293.0</v>
      </c>
      <c r="G906" s="1">
        <v>752.0</v>
      </c>
      <c r="H906" s="1">
        <v>533.0</v>
      </c>
      <c r="I906" s="7">
        <f>IFERROR(__xludf.DUMMYFUNCTION("SPLIT(B906,""T""""Z"")"),42085.0)</f>
        <v>42085</v>
      </c>
      <c r="J906" s="8">
        <f>IFERROR(__xludf.DUMMYFUNCTION("""COMPUTED_VALUE"""),0.29194444444444445)</f>
        <v>0.2919444444</v>
      </c>
      <c r="K906" s="9">
        <f t="shared" si="1"/>
        <v>7</v>
      </c>
      <c r="L906" s="7">
        <f>IFERROR(__xludf.DUMMYFUNCTION("SPLIT(C906,""T""""Z"")"),44796.0)</f>
        <v>44796</v>
      </c>
      <c r="M906" s="8">
        <f>IFERROR(__xludf.DUMMYFUNCTION("""COMPUTED_VALUE"""),0.6147800925925926)</f>
        <v>0.6147800926</v>
      </c>
      <c r="N906" s="10">
        <f t="shared" si="2"/>
        <v>182.7547222</v>
      </c>
      <c r="O906" s="11">
        <f t="shared" si="3"/>
        <v>0.7087765957</v>
      </c>
    </row>
    <row r="907">
      <c r="A907" s="1" t="s">
        <v>2739</v>
      </c>
      <c r="B907" s="1" t="s">
        <v>2740</v>
      </c>
      <c r="C907" s="1" t="s">
        <v>2741</v>
      </c>
      <c r="D907" s="1">
        <v>81.0</v>
      </c>
      <c r="E907" s="1" t="s">
        <v>439</v>
      </c>
      <c r="F907" s="1">
        <v>101509.0</v>
      </c>
      <c r="G907" s="1">
        <v>6085.0</v>
      </c>
      <c r="H907" s="1">
        <v>6062.0</v>
      </c>
      <c r="I907" s="7">
        <f>IFERROR(__xludf.DUMMYFUNCTION("SPLIT(B907,""T""""Z"")"),40973.0)</f>
        <v>40973</v>
      </c>
      <c r="J907" s="8">
        <f>IFERROR(__xludf.DUMMYFUNCTION("""COMPUTED_VALUE"""),0.08700231481481481)</f>
        <v>0.08700231481</v>
      </c>
      <c r="K907" s="9">
        <f t="shared" si="1"/>
        <v>10</v>
      </c>
      <c r="L907" s="7">
        <f>IFERROR(__xludf.DUMMYFUNCTION("SPLIT(C907,""T""""Z"")"),44798.0)</f>
        <v>44798</v>
      </c>
      <c r="M907" s="8">
        <f>IFERROR(__xludf.DUMMYFUNCTION("""COMPUTED_VALUE"""),0.49440972222222224)</f>
        <v>0.4944097222</v>
      </c>
      <c r="N907" s="10">
        <f t="shared" si="2"/>
        <v>131.8658333</v>
      </c>
      <c r="O907" s="11">
        <f t="shared" si="3"/>
        <v>0.9962202136</v>
      </c>
    </row>
    <row r="908">
      <c r="A908" s="1" t="s">
        <v>2742</v>
      </c>
      <c r="B908" s="1" t="s">
        <v>2743</v>
      </c>
      <c r="C908" s="1" t="s">
        <v>2744</v>
      </c>
      <c r="D908" s="1">
        <v>14.0</v>
      </c>
      <c r="E908" s="1" t="s">
        <v>48</v>
      </c>
      <c r="F908" s="1">
        <v>66.0</v>
      </c>
      <c r="G908" s="1">
        <v>612.0</v>
      </c>
      <c r="H908" s="1">
        <v>462.0</v>
      </c>
      <c r="I908" s="7">
        <f>IFERROR(__xludf.DUMMYFUNCTION("SPLIT(B908,""T""""Z"")"),40739.0)</f>
        <v>40739</v>
      </c>
      <c r="J908" s="8">
        <f>IFERROR(__xludf.DUMMYFUNCTION("""COMPUTED_VALUE"""),0.144375)</f>
        <v>0.144375</v>
      </c>
      <c r="K908" s="9">
        <f t="shared" si="1"/>
        <v>11</v>
      </c>
      <c r="L908" s="7">
        <f>IFERROR(__xludf.DUMMYFUNCTION("SPLIT(C908,""T""""Z"")"),44798.0)</f>
        <v>44798</v>
      </c>
      <c r="M908" s="8">
        <f>IFERROR(__xludf.DUMMYFUNCTION("""COMPUTED_VALUE"""),0.4896064814814815)</f>
        <v>0.4896064815</v>
      </c>
      <c r="N908" s="10">
        <f t="shared" si="2"/>
        <v>131.7505556</v>
      </c>
      <c r="O908" s="11">
        <f t="shared" si="3"/>
        <v>0.7549019608</v>
      </c>
    </row>
    <row r="909">
      <c r="A909" s="1" t="s">
        <v>2745</v>
      </c>
      <c r="B909" s="1" t="s">
        <v>2746</v>
      </c>
      <c r="C909" s="1" t="s">
        <v>2747</v>
      </c>
      <c r="D909" s="1">
        <v>201.0</v>
      </c>
      <c r="E909" s="1" t="s">
        <v>95</v>
      </c>
      <c r="F909" s="1">
        <v>5238.0</v>
      </c>
      <c r="G909" s="1">
        <v>0.0</v>
      </c>
      <c r="H909" s="1">
        <v>0.0</v>
      </c>
      <c r="I909" s="7">
        <f>IFERROR(__xludf.DUMMYFUNCTION("SPLIT(B909,""T""""Z"")"),40504.0)</f>
        <v>40504</v>
      </c>
      <c r="J909" s="8">
        <f>IFERROR(__xludf.DUMMYFUNCTION("""COMPUTED_VALUE"""),0.8898495370370371)</f>
        <v>0.889849537</v>
      </c>
      <c r="K909" s="9">
        <f t="shared" si="1"/>
        <v>11</v>
      </c>
      <c r="L909" s="7">
        <f>IFERROR(__xludf.DUMMYFUNCTION("SPLIT(C909,""T""""Z"")"),44798.0)</f>
        <v>44798</v>
      </c>
      <c r="M909" s="8">
        <f>IFERROR(__xludf.DUMMYFUNCTION("""COMPUTED_VALUE"""),0.4714351851851852)</f>
        <v>0.4714351852</v>
      </c>
      <c r="N909" s="10">
        <f t="shared" si="2"/>
        <v>131.3144444</v>
      </c>
      <c r="O909" s="11">
        <f t="shared" si="3"/>
        <v>0</v>
      </c>
    </row>
    <row r="910">
      <c r="A910" s="1" t="s">
        <v>2748</v>
      </c>
      <c r="B910" s="1" t="s">
        <v>2749</v>
      </c>
      <c r="C910" s="1" t="s">
        <v>2750</v>
      </c>
      <c r="D910" s="1">
        <v>92.0</v>
      </c>
      <c r="E910" s="1" t="s">
        <v>599</v>
      </c>
      <c r="F910" s="1">
        <v>179.0</v>
      </c>
      <c r="G910" s="1">
        <v>0.0</v>
      </c>
      <c r="H910" s="1">
        <v>0.0</v>
      </c>
      <c r="I910" s="7">
        <f>IFERROR(__xludf.DUMMYFUNCTION("SPLIT(B910,""T""""Z"")"),41946.0)</f>
        <v>41946</v>
      </c>
      <c r="J910" s="8">
        <f>IFERROR(__xludf.DUMMYFUNCTION("""COMPUTED_VALUE"""),0.14006944444444444)</f>
        <v>0.1400694444</v>
      </c>
      <c r="K910" s="9">
        <f t="shared" si="1"/>
        <v>7</v>
      </c>
      <c r="L910" s="7">
        <f>IFERROR(__xludf.DUMMYFUNCTION("SPLIT(C910,""T""""Z"")"),44797.0)</f>
        <v>44797</v>
      </c>
      <c r="M910" s="8">
        <f>IFERROR(__xludf.DUMMYFUNCTION("""COMPUTED_VALUE"""),0.6552314814814815)</f>
        <v>0.6552314815</v>
      </c>
      <c r="N910" s="10">
        <f t="shared" si="2"/>
        <v>159.7255556</v>
      </c>
      <c r="O910" s="11">
        <f t="shared" si="3"/>
        <v>0</v>
      </c>
    </row>
    <row r="911">
      <c r="A911" s="1" t="s">
        <v>2751</v>
      </c>
      <c r="B911" s="1" t="s">
        <v>2752</v>
      </c>
      <c r="C911" s="1" t="s">
        <v>2753</v>
      </c>
      <c r="D911" s="1">
        <v>15.0</v>
      </c>
      <c r="E911" s="1" t="s">
        <v>48</v>
      </c>
      <c r="F911" s="1">
        <v>468.0</v>
      </c>
      <c r="G911" s="1">
        <v>1337.0</v>
      </c>
      <c r="H911" s="1">
        <v>941.0</v>
      </c>
      <c r="I911" s="7">
        <f>IFERROR(__xludf.DUMMYFUNCTION("SPLIT(B911,""T""""Z"")"),40541.0)</f>
        <v>40541</v>
      </c>
      <c r="J911" s="8">
        <f>IFERROR(__xludf.DUMMYFUNCTION("""COMPUTED_VALUE"""),0.7846180555555555)</f>
        <v>0.7846180556</v>
      </c>
      <c r="K911" s="9">
        <f t="shared" si="1"/>
        <v>11</v>
      </c>
      <c r="L911" s="7">
        <f>IFERROR(__xludf.DUMMYFUNCTION("SPLIT(C911,""T""""Z"")"),44798.0)</f>
        <v>44798</v>
      </c>
      <c r="M911" s="8">
        <f>IFERROR(__xludf.DUMMYFUNCTION("""COMPUTED_VALUE"""),0.491875)</f>
        <v>0.491875</v>
      </c>
      <c r="N911" s="10">
        <f t="shared" si="2"/>
        <v>131.805</v>
      </c>
      <c r="O911" s="11">
        <f t="shared" si="3"/>
        <v>0.7038145101</v>
      </c>
    </row>
    <row r="912">
      <c r="A912" s="1" t="s">
        <v>2754</v>
      </c>
      <c r="B912" s="1" t="s">
        <v>2755</v>
      </c>
      <c r="C912" s="1" t="s">
        <v>848</v>
      </c>
      <c r="D912" s="1">
        <v>26.0</v>
      </c>
      <c r="E912" s="1" t="s">
        <v>686</v>
      </c>
      <c r="F912" s="1">
        <v>32.0</v>
      </c>
      <c r="G912" s="1">
        <v>0.0</v>
      </c>
      <c r="H912" s="1">
        <v>0.0</v>
      </c>
      <c r="I912" s="7">
        <f>IFERROR(__xludf.DUMMYFUNCTION("SPLIT(B912,""T""""Z"")"),43264.0)</f>
        <v>43264</v>
      </c>
      <c r="J912" s="8">
        <f>IFERROR(__xludf.DUMMYFUNCTION("""COMPUTED_VALUE"""),0.11902777777777777)</f>
        <v>0.1190277778</v>
      </c>
      <c r="K912" s="9">
        <f t="shared" si="1"/>
        <v>4</v>
      </c>
      <c r="L912" s="7">
        <f>IFERROR(__xludf.DUMMYFUNCTION("SPLIT(C912,""T""""Z"")"),44798.0)</f>
        <v>44798</v>
      </c>
      <c r="M912" s="8">
        <f>IFERROR(__xludf.DUMMYFUNCTION("""COMPUTED_VALUE"""),0.581400462962963)</f>
        <v>0.581400463</v>
      </c>
      <c r="N912" s="10">
        <f t="shared" si="2"/>
        <v>133.9536111</v>
      </c>
      <c r="O912" s="11">
        <f t="shared" si="3"/>
        <v>0</v>
      </c>
    </row>
    <row r="913">
      <c r="A913" s="1" t="s">
        <v>2756</v>
      </c>
      <c r="B913" s="1" t="s">
        <v>2757</v>
      </c>
      <c r="C913" s="1" t="s">
        <v>2758</v>
      </c>
      <c r="D913" s="1">
        <v>24.0</v>
      </c>
      <c r="E913" s="13" t="s">
        <v>22</v>
      </c>
      <c r="F913" s="1">
        <v>84.0</v>
      </c>
      <c r="G913" s="1">
        <v>539.0</v>
      </c>
      <c r="H913" s="1">
        <v>468.0</v>
      </c>
      <c r="I913" s="7">
        <f>IFERROR(__xludf.DUMMYFUNCTION("SPLIT(B913,""T""""Z"")"),41574.0)</f>
        <v>41574</v>
      </c>
      <c r="J913" s="8">
        <f>IFERROR(__xludf.DUMMYFUNCTION("""COMPUTED_VALUE"""),0.5271064814814815)</f>
        <v>0.5271064815</v>
      </c>
      <c r="K913" s="9">
        <f t="shared" si="1"/>
        <v>8</v>
      </c>
      <c r="L913" s="7">
        <f>IFERROR(__xludf.DUMMYFUNCTION("SPLIT(C913,""T""""Z"")"),44798.0)</f>
        <v>44798</v>
      </c>
      <c r="M913" s="8">
        <f>IFERROR(__xludf.DUMMYFUNCTION("""COMPUTED_VALUE"""),0.5769097222222223)</f>
        <v>0.5769097222</v>
      </c>
      <c r="N913" s="12">
        <f t="shared" si="2"/>
        <v>133.8458333</v>
      </c>
      <c r="O913" s="11">
        <f t="shared" si="3"/>
        <v>0.8682745826</v>
      </c>
    </row>
    <row r="914">
      <c r="A914" s="1" t="s">
        <v>2759</v>
      </c>
      <c r="B914" s="1" t="s">
        <v>2760</v>
      </c>
      <c r="C914" s="1" t="s">
        <v>2761</v>
      </c>
      <c r="D914" s="1">
        <v>186.0</v>
      </c>
      <c r="E914" s="1" t="s">
        <v>18</v>
      </c>
      <c r="F914" s="1">
        <v>2846.0</v>
      </c>
      <c r="G914" s="1">
        <v>2783.0</v>
      </c>
      <c r="H914" s="1">
        <v>1982.0</v>
      </c>
      <c r="I914" s="7">
        <f>IFERROR(__xludf.DUMMYFUNCTION("SPLIT(B914,""T""""Z"")"),43416.0)</f>
        <v>43416</v>
      </c>
      <c r="J914" s="8">
        <f>IFERROR(__xludf.DUMMYFUNCTION("""COMPUTED_VALUE"""),0.2700925925925926)</f>
        <v>0.2700925926</v>
      </c>
      <c r="K914" s="9">
        <f t="shared" si="1"/>
        <v>3</v>
      </c>
      <c r="L914" s="7">
        <f>IFERROR(__xludf.DUMMYFUNCTION("SPLIT(C914,""T""""Z"")"),44798.0)</f>
        <v>44798</v>
      </c>
      <c r="M914" s="8">
        <f>IFERROR(__xludf.DUMMYFUNCTION("""COMPUTED_VALUE"""),0.5711689814814814)</f>
        <v>0.5711689815</v>
      </c>
      <c r="N914" s="10">
        <f t="shared" si="2"/>
        <v>133.7080556</v>
      </c>
      <c r="O914" s="11">
        <f t="shared" si="3"/>
        <v>0.7121810995</v>
      </c>
    </row>
    <row r="915">
      <c r="A915" s="1" t="s">
        <v>2762</v>
      </c>
      <c r="B915" s="1" t="s">
        <v>2763</v>
      </c>
      <c r="C915" s="1" t="s">
        <v>2764</v>
      </c>
      <c r="D915" s="1">
        <v>0.0</v>
      </c>
      <c r="E915" s="1" t="s">
        <v>38</v>
      </c>
      <c r="F915" s="1">
        <v>246.0</v>
      </c>
      <c r="G915" s="1">
        <v>500.0</v>
      </c>
      <c r="H915" s="1">
        <v>298.0</v>
      </c>
      <c r="I915" s="7">
        <f>IFERROR(__xludf.DUMMYFUNCTION("SPLIT(B915,""T""""Z"")"),42364.0)</f>
        <v>42364</v>
      </c>
      <c r="J915" s="8">
        <f>IFERROR(__xludf.DUMMYFUNCTION("""COMPUTED_VALUE"""),0.8775810185185186)</f>
        <v>0.8775810185</v>
      </c>
      <c r="K915" s="9">
        <f t="shared" si="1"/>
        <v>6</v>
      </c>
      <c r="L915" s="7">
        <f>IFERROR(__xludf.DUMMYFUNCTION("SPLIT(C915,""T""""Z"")"),44798.0)</f>
        <v>44798</v>
      </c>
      <c r="M915" s="8">
        <f>IFERROR(__xludf.DUMMYFUNCTION("""COMPUTED_VALUE"""),0.5027662037037037)</f>
        <v>0.5027662037</v>
      </c>
      <c r="N915" s="10">
        <f t="shared" si="2"/>
        <v>132.0663889</v>
      </c>
      <c r="O915" s="11">
        <f t="shared" si="3"/>
        <v>0.596</v>
      </c>
    </row>
    <row r="916">
      <c r="A916" s="1" t="s">
        <v>2765</v>
      </c>
      <c r="B916" s="1" t="s">
        <v>2766</v>
      </c>
      <c r="C916" s="1" t="s">
        <v>2767</v>
      </c>
      <c r="D916" s="1">
        <v>0.0</v>
      </c>
      <c r="E916" s="1" t="s">
        <v>347</v>
      </c>
      <c r="F916" s="1">
        <v>182.0</v>
      </c>
      <c r="G916" s="1">
        <v>269.0</v>
      </c>
      <c r="H916" s="1">
        <v>133.0</v>
      </c>
      <c r="I916" s="7">
        <f>IFERROR(__xludf.DUMMYFUNCTION("SPLIT(B916,""T""""Z"")"),43382.0)</f>
        <v>43382</v>
      </c>
      <c r="J916" s="8">
        <f>IFERROR(__xludf.DUMMYFUNCTION("""COMPUTED_VALUE"""),0.9235648148148148)</f>
        <v>0.9235648148</v>
      </c>
      <c r="K916" s="9">
        <f t="shared" si="1"/>
        <v>3</v>
      </c>
      <c r="L916" s="7">
        <f>IFERROR(__xludf.DUMMYFUNCTION("SPLIT(C916,""T""""Z"")"),44798.0)</f>
        <v>44798</v>
      </c>
      <c r="M916" s="8">
        <f>IFERROR(__xludf.DUMMYFUNCTION("""COMPUTED_VALUE"""),0.5669791666666667)</f>
        <v>0.5669791667</v>
      </c>
      <c r="N916" s="10">
        <f t="shared" si="2"/>
        <v>133.6075</v>
      </c>
      <c r="O916" s="11">
        <f t="shared" si="3"/>
        <v>0.4944237918</v>
      </c>
    </row>
    <row r="917">
      <c r="A917" s="1" t="s">
        <v>2768</v>
      </c>
      <c r="B917" s="1" t="s">
        <v>2769</v>
      </c>
      <c r="C917" s="1" t="s">
        <v>2770</v>
      </c>
      <c r="D917" s="1">
        <v>0.0</v>
      </c>
      <c r="E917" s="13" t="s">
        <v>22</v>
      </c>
      <c r="F917" s="1">
        <v>160.0</v>
      </c>
      <c r="G917" s="1">
        <v>17.0</v>
      </c>
      <c r="H917" s="1">
        <v>14.0</v>
      </c>
      <c r="I917" s="7">
        <f>IFERROR(__xludf.DUMMYFUNCTION("SPLIT(B917,""T""""Z"")"),42006.0)</f>
        <v>42006</v>
      </c>
      <c r="J917" s="8">
        <f>IFERROR(__xludf.DUMMYFUNCTION("""COMPUTED_VALUE"""),0.8115162037037037)</f>
        <v>0.8115162037</v>
      </c>
      <c r="K917" s="9">
        <f t="shared" si="1"/>
        <v>7</v>
      </c>
      <c r="L917" s="7">
        <f>IFERROR(__xludf.DUMMYFUNCTION("SPLIT(C917,""T""""Z"")"),44798.0)</f>
        <v>44798</v>
      </c>
      <c r="M917" s="8">
        <f>IFERROR(__xludf.DUMMYFUNCTION("""COMPUTED_VALUE"""),0.4224189814814815)</f>
        <v>0.4224189815</v>
      </c>
      <c r="N917" s="12">
        <f t="shared" si="2"/>
        <v>130.1380556</v>
      </c>
      <c r="O917" s="11">
        <f t="shared" si="3"/>
        <v>0.8235294118</v>
      </c>
    </row>
    <row r="918">
      <c r="A918" s="1" t="s">
        <v>2771</v>
      </c>
      <c r="B918" s="1" t="s">
        <v>2772</v>
      </c>
      <c r="C918" s="1" t="s">
        <v>2773</v>
      </c>
      <c r="D918" s="1">
        <v>1.0</v>
      </c>
      <c r="E918" s="1" t="s">
        <v>48</v>
      </c>
      <c r="F918" s="1">
        <v>251.0</v>
      </c>
      <c r="G918" s="1">
        <v>1242.0</v>
      </c>
      <c r="H918" s="1">
        <v>1065.0</v>
      </c>
      <c r="I918" s="7">
        <f>IFERROR(__xludf.DUMMYFUNCTION("SPLIT(B918,""T""""Z"")"),41734.0)</f>
        <v>41734</v>
      </c>
      <c r="J918" s="8">
        <f>IFERROR(__xludf.DUMMYFUNCTION("""COMPUTED_VALUE"""),0.9304513888888889)</f>
        <v>0.9304513889</v>
      </c>
      <c r="K918" s="9">
        <f t="shared" si="1"/>
        <v>8</v>
      </c>
      <c r="L918" s="7">
        <f>IFERROR(__xludf.DUMMYFUNCTION("SPLIT(C918,""T""""Z"")"),44797.0)</f>
        <v>44797</v>
      </c>
      <c r="M918" s="8">
        <f>IFERROR(__xludf.DUMMYFUNCTION("""COMPUTED_VALUE"""),0.7663541666666667)</f>
        <v>0.7663541667</v>
      </c>
      <c r="N918" s="10">
        <f t="shared" si="2"/>
        <v>162.3925</v>
      </c>
      <c r="O918" s="11">
        <f t="shared" si="3"/>
        <v>0.8574879227</v>
      </c>
    </row>
    <row r="919">
      <c r="A919" s="1" t="s">
        <v>2774</v>
      </c>
      <c r="B919" s="1" t="s">
        <v>2775</v>
      </c>
      <c r="C919" s="1" t="s">
        <v>2776</v>
      </c>
      <c r="D919" s="1">
        <v>169.0</v>
      </c>
      <c r="E919" s="1" t="s">
        <v>95</v>
      </c>
      <c r="F919" s="1">
        <v>254.0</v>
      </c>
      <c r="G919" s="1">
        <v>10126.0</v>
      </c>
      <c r="H919" s="1">
        <v>7730.0</v>
      </c>
      <c r="I919" s="7">
        <f>IFERROR(__xludf.DUMMYFUNCTION("SPLIT(B919,""T""""Z"")"),41802.0)</f>
        <v>41802</v>
      </c>
      <c r="J919" s="8">
        <f>IFERROR(__xludf.DUMMYFUNCTION("""COMPUTED_VALUE"""),0.6671064814814814)</f>
        <v>0.6671064815</v>
      </c>
      <c r="K919" s="9">
        <f t="shared" si="1"/>
        <v>8</v>
      </c>
      <c r="L919" s="7">
        <f>IFERROR(__xludf.DUMMYFUNCTION("SPLIT(C919,""T""""Z"")"),44798.0)</f>
        <v>44798</v>
      </c>
      <c r="M919" s="8">
        <f>IFERROR(__xludf.DUMMYFUNCTION("""COMPUTED_VALUE"""),0.5400578703703703)</f>
        <v>0.5400578704</v>
      </c>
      <c r="N919" s="10">
        <f t="shared" si="2"/>
        <v>132.9613889</v>
      </c>
      <c r="O919" s="11">
        <f t="shared" si="3"/>
        <v>0.7633813944</v>
      </c>
    </row>
    <row r="920">
      <c r="A920" s="1" t="s">
        <v>2777</v>
      </c>
      <c r="B920" s="1" t="s">
        <v>2778</v>
      </c>
      <c r="C920" s="1" t="s">
        <v>2779</v>
      </c>
      <c r="D920" s="1">
        <v>0.0</v>
      </c>
      <c r="E920" s="13" t="s">
        <v>22</v>
      </c>
      <c r="F920" s="1">
        <v>9.0</v>
      </c>
      <c r="G920" s="1">
        <v>104.0</v>
      </c>
      <c r="H920" s="1">
        <v>32.0</v>
      </c>
      <c r="I920" s="7">
        <f>IFERROR(__xludf.DUMMYFUNCTION("SPLIT(B920,""T""""Z"")"),44667.0)</f>
        <v>44667</v>
      </c>
      <c r="J920" s="8">
        <f>IFERROR(__xludf.DUMMYFUNCTION("""COMPUTED_VALUE"""),0.17729166666666665)</f>
        <v>0.1772916667</v>
      </c>
      <c r="K920" s="9">
        <f t="shared" si="1"/>
        <v>0</v>
      </c>
      <c r="L920" s="7">
        <f>IFERROR(__xludf.DUMMYFUNCTION("SPLIT(C920,""T""""Z"")"),44798.0)</f>
        <v>44798</v>
      </c>
      <c r="M920" s="8">
        <f>IFERROR(__xludf.DUMMYFUNCTION("""COMPUTED_VALUE"""),0.5756712962962963)</f>
        <v>0.5756712963</v>
      </c>
      <c r="N920" s="12">
        <f t="shared" si="2"/>
        <v>133.8161111</v>
      </c>
      <c r="O920" s="11">
        <f t="shared" si="3"/>
        <v>0.3076923077</v>
      </c>
    </row>
    <row r="921">
      <c r="A921" s="1" t="s">
        <v>2780</v>
      </c>
      <c r="B921" s="1" t="s">
        <v>2781</v>
      </c>
      <c r="C921" s="1" t="s">
        <v>2782</v>
      </c>
      <c r="D921" s="1">
        <v>0.0</v>
      </c>
      <c r="E921" s="13" t="s">
        <v>22</v>
      </c>
      <c r="F921" s="1">
        <v>271.0</v>
      </c>
      <c r="G921" s="1">
        <v>42.0</v>
      </c>
      <c r="H921" s="1">
        <v>42.0</v>
      </c>
      <c r="I921" s="7">
        <f>IFERROR(__xludf.DUMMYFUNCTION("SPLIT(B921,""T""""Z"")"),41825.0)</f>
        <v>41825</v>
      </c>
      <c r="J921" s="8">
        <f>IFERROR(__xludf.DUMMYFUNCTION("""COMPUTED_VALUE"""),0.29702546296296295)</f>
        <v>0.297025463</v>
      </c>
      <c r="K921" s="9">
        <f t="shared" si="1"/>
        <v>8</v>
      </c>
      <c r="L921" s="7">
        <f>IFERROR(__xludf.DUMMYFUNCTION("SPLIT(C921,""T""""Z"")"),44798.0)</f>
        <v>44798</v>
      </c>
      <c r="M921" s="8">
        <f>IFERROR(__xludf.DUMMYFUNCTION("""COMPUTED_VALUE"""),0.5913425925925926)</f>
        <v>0.5913425926</v>
      </c>
      <c r="N921" s="12">
        <f t="shared" si="2"/>
        <v>134.1922222</v>
      </c>
      <c r="O921" s="11">
        <f t="shared" si="3"/>
        <v>1</v>
      </c>
    </row>
    <row r="922">
      <c r="A922" s="1" t="s">
        <v>2783</v>
      </c>
      <c r="B922" s="1" t="s">
        <v>2784</v>
      </c>
      <c r="C922" s="1" t="s">
        <v>2785</v>
      </c>
      <c r="D922" s="1">
        <v>18.0</v>
      </c>
      <c r="E922" s="1" t="s">
        <v>18</v>
      </c>
      <c r="F922" s="1">
        <v>407.0</v>
      </c>
      <c r="G922" s="1">
        <v>713.0</v>
      </c>
      <c r="H922" s="1">
        <v>690.0</v>
      </c>
      <c r="I922" s="7">
        <f>IFERROR(__xludf.DUMMYFUNCTION("SPLIT(B922,""T""""Z"")"),43521.0)</f>
        <v>43521</v>
      </c>
      <c r="J922" s="8">
        <f>IFERROR(__xludf.DUMMYFUNCTION("""COMPUTED_VALUE"""),0.6054513888888889)</f>
        <v>0.6054513889</v>
      </c>
      <c r="K922" s="9">
        <f t="shared" si="1"/>
        <v>3</v>
      </c>
      <c r="L922" s="7">
        <f>IFERROR(__xludf.DUMMYFUNCTION("SPLIT(C922,""T""""Z"")"),44798.0)</f>
        <v>44798</v>
      </c>
      <c r="M922" s="8">
        <f>IFERROR(__xludf.DUMMYFUNCTION("""COMPUTED_VALUE"""),0.5739351851851852)</f>
        <v>0.5739351852</v>
      </c>
      <c r="N922" s="10">
        <f t="shared" si="2"/>
        <v>133.7744444</v>
      </c>
      <c r="O922" s="11">
        <f t="shared" si="3"/>
        <v>0.9677419355</v>
      </c>
    </row>
    <row r="923">
      <c r="A923" s="1" t="s">
        <v>2786</v>
      </c>
      <c r="B923" s="1" t="s">
        <v>2787</v>
      </c>
      <c r="C923" s="1" t="s">
        <v>2788</v>
      </c>
      <c r="D923" s="1">
        <v>1.0</v>
      </c>
      <c r="E923" s="1" t="s">
        <v>48</v>
      </c>
      <c r="F923" s="1">
        <v>55.0</v>
      </c>
      <c r="G923" s="1">
        <v>157.0</v>
      </c>
      <c r="H923" s="1">
        <v>118.0</v>
      </c>
      <c r="I923" s="7">
        <f>IFERROR(__xludf.DUMMYFUNCTION("SPLIT(B923,""T""""Z"")"),42645.0)</f>
        <v>42645</v>
      </c>
      <c r="J923" s="8">
        <f>IFERROR(__xludf.DUMMYFUNCTION("""COMPUTED_VALUE"""),0.5634606481481481)</f>
        <v>0.5634606481</v>
      </c>
      <c r="K923" s="9">
        <f t="shared" si="1"/>
        <v>5</v>
      </c>
      <c r="L923" s="7">
        <f>IFERROR(__xludf.DUMMYFUNCTION("SPLIT(C923,""T""""Z"")"),44798.0)</f>
        <v>44798</v>
      </c>
      <c r="M923" s="8">
        <f>IFERROR(__xludf.DUMMYFUNCTION("""COMPUTED_VALUE"""),0.4289236111111111)</f>
        <v>0.4289236111</v>
      </c>
      <c r="N923" s="10">
        <f t="shared" si="2"/>
        <v>130.2941667</v>
      </c>
      <c r="O923" s="11">
        <f t="shared" si="3"/>
        <v>0.7515923567</v>
      </c>
    </row>
    <row r="924">
      <c r="A924" s="1" t="s">
        <v>2789</v>
      </c>
      <c r="B924" s="1" t="s">
        <v>2790</v>
      </c>
      <c r="C924" s="1" t="s">
        <v>2791</v>
      </c>
      <c r="D924" s="1">
        <v>110.0</v>
      </c>
      <c r="E924" s="1" t="s">
        <v>18</v>
      </c>
      <c r="F924" s="1">
        <v>2274.0</v>
      </c>
      <c r="G924" s="1">
        <v>2771.0</v>
      </c>
      <c r="H924" s="1">
        <v>2127.0</v>
      </c>
      <c r="I924" s="7">
        <f>IFERROR(__xludf.DUMMYFUNCTION("SPLIT(B924,""T""""Z"")"),42668.0)</f>
        <v>42668</v>
      </c>
      <c r="J924" s="8">
        <f>IFERROR(__xludf.DUMMYFUNCTION("""COMPUTED_VALUE"""),0.8873842592592592)</f>
        <v>0.8873842593</v>
      </c>
      <c r="K924" s="9">
        <f t="shared" si="1"/>
        <v>5</v>
      </c>
      <c r="L924" s="7">
        <f>IFERROR(__xludf.DUMMYFUNCTION("SPLIT(C924,""T""""Z"")"),44798.0)</f>
        <v>44798</v>
      </c>
      <c r="M924" s="8">
        <f>IFERROR(__xludf.DUMMYFUNCTION("""COMPUTED_VALUE"""),0.5138541666666666)</f>
        <v>0.5138541667</v>
      </c>
      <c r="N924" s="10">
        <f t="shared" si="2"/>
        <v>132.3325</v>
      </c>
      <c r="O924" s="11">
        <f t="shared" si="3"/>
        <v>0.7675929267</v>
      </c>
    </row>
    <row r="925">
      <c r="A925" s="1" t="s">
        <v>2792</v>
      </c>
      <c r="B925" s="1" t="s">
        <v>2793</v>
      </c>
      <c r="C925" s="1" t="s">
        <v>1732</v>
      </c>
      <c r="D925" s="1">
        <v>120.0</v>
      </c>
      <c r="E925" s="1" t="s">
        <v>52</v>
      </c>
      <c r="F925" s="1">
        <v>3980.0</v>
      </c>
      <c r="G925" s="1">
        <v>3004.0</v>
      </c>
      <c r="H925" s="1">
        <v>2502.0</v>
      </c>
      <c r="I925" s="7">
        <f>IFERROR(__xludf.DUMMYFUNCTION("SPLIT(B925,""T""""Z"")"),41849.0)</f>
        <v>41849</v>
      </c>
      <c r="J925" s="8">
        <f>IFERROR(__xludf.DUMMYFUNCTION("""COMPUTED_VALUE"""),0.8524652777777778)</f>
        <v>0.8524652778</v>
      </c>
      <c r="K925" s="9">
        <f t="shared" si="1"/>
        <v>8</v>
      </c>
      <c r="L925" s="7">
        <f>IFERROR(__xludf.DUMMYFUNCTION("SPLIT(C925,""T""""Z"")"),44798.0)</f>
        <v>44798</v>
      </c>
      <c r="M925" s="8">
        <f>IFERROR(__xludf.DUMMYFUNCTION("""COMPUTED_VALUE"""),0.5529513888888888)</f>
        <v>0.5529513889</v>
      </c>
      <c r="N925" s="10">
        <f t="shared" si="2"/>
        <v>133.2708333</v>
      </c>
      <c r="O925" s="11">
        <f t="shared" si="3"/>
        <v>0.8328894807</v>
      </c>
    </row>
    <row r="926">
      <c r="A926" s="1" t="s">
        <v>2794</v>
      </c>
      <c r="B926" s="1" t="s">
        <v>2795</v>
      </c>
      <c r="C926" s="1" t="s">
        <v>2796</v>
      </c>
      <c r="D926" s="1">
        <v>0.0</v>
      </c>
      <c r="E926" s="1" t="s">
        <v>88</v>
      </c>
      <c r="F926" s="1">
        <v>111.0</v>
      </c>
      <c r="G926" s="1">
        <v>7484.0</v>
      </c>
      <c r="H926" s="1">
        <v>5876.0</v>
      </c>
      <c r="I926" s="7">
        <f>IFERROR(__xludf.DUMMYFUNCTION("SPLIT(B926,""T""""Z"")"),41289.0)</f>
        <v>41289</v>
      </c>
      <c r="J926" s="8">
        <f>IFERROR(__xludf.DUMMYFUNCTION("""COMPUTED_VALUE"""),0.9408333333333333)</f>
        <v>0.9408333333</v>
      </c>
      <c r="K926" s="9">
        <f t="shared" si="1"/>
        <v>9</v>
      </c>
      <c r="L926" s="7">
        <f>IFERROR(__xludf.DUMMYFUNCTION("SPLIT(C926,""T""""Z"")"),44798.0)</f>
        <v>44798</v>
      </c>
      <c r="M926" s="8">
        <f>IFERROR(__xludf.DUMMYFUNCTION("""COMPUTED_VALUE"""),0.5111111111111111)</f>
        <v>0.5111111111</v>
      </c>
      <c r="N926" s="10">
        <f t="shared" si="2"/>
        <v>132.2666667</v>
      </c>
      <c r="O926" s="11">
        <f t="shared" si="3"/>
        <v>0.7851416355</v>
      </c>
    </row>
    <row r="927">
      <c r="A927" s="1" t="s">
        <v>2797</v>
      </c>
      <c r="B927" s="1" t="s">
        <v>2798</v>
      </c>
      <c r="C927" s="1" t="s">
        <v>2799</v>
      </c>
      <c r="D927" s="1">
        <v>0.0</v>
      </c>
      <c r="E927" s="1" t="s">
        <v>621</v>
      </c>
      <c r="F927" s="1">
        <v>52.0</v>
      </c>
      <c r="G927" s="1">
        <v>33.0</v>
      </c>
      <c r="H927" s="1">
        <v>17.0</v>
      </c>
      <c r="I927" s="7">
        <f>IFERROR(__xludf.DUMMYFUNCTION("SPLIT(B927,""T""""Z"")"),42795.0)</f>
        <v>42795</v>
      </c>
      <c r="J927" s="8">
        <f>IFERROR(__xludf.DUMMYFUNCTION("""COMPUTED_VALUE"""),0.23859953703703704)</f>
        <v>0.238599537</v>
      </c>
      <c r="K927" s="9">
        <f t="shared" si="1"/>
        <v>5</v>
      </c>
      <c r="L927" s="7">
        <f>IFERROR(__xludf.DUMMYFUNCTION("SPLIT(C927,""T""""Z"")"),44798.0)</f>
        <v>44798</v>
      </c>
      <c r="M927" s="8">
        <f>IFERROR(__xludf.DUMMYFUNCTION("""COMPUTED_VALUE"""),0.25049768518518517)</f>
        <v>0.2504976852</v>
      </c>
      <c r="N927" s="10">
        <f t="shared" si="2"/>
        <v>126.0119444</v>
      </c>
      <c r="O927" s="11">
        <f t="shared" si="3"/>
        <v>0.5151515152</v>
      </c>
    </row>
    <row r="928">
      <c r="A928" s="1" t="s">
        <v>2800</v>
      </c>
      <c r="B928" s="1" t="s">
        <v>2801</v>
      </c>
      <c r="C928" s="1" t="s">
        <v>2802</v>
      </c>
      <c r="D928" s="1">
        <v>0.0</v>
      </c>
      <c r="E928" s="1" t="s">
        <v>621</v>
      </c>
      <c r="F928" s="1">
        <v>46.0</v>
      </c>
      <c r="G928" s="1">
        <v>50.0</v>
      </c>
      <c r="H928" s="1">
        <v>40.0</v>
      </c>
      <c r="I928" s="7">
        <f>IFERROR(__xludf.DUMMYFUNCTION("SPLIT(B928,""T""""Z"")"),43317.0)</f>
        <v>43317</v>
      </c>
      <c r="J928" s="8">
        <f>IFERROR(__xludf.DUMMYFUNCTION("""COMPUTED_VALUE"""),0.5644444444444444)</f>
        <v>0.5644444444</v>
      </c>
      <c r="K928" s="9">
        <f t="shared" si="1"/>
        <v>4</v>
      </c>
      <c r="L928" s="7">
        <f>IFERROR(__xludf.DUMMYFUNCTION("SPLIT(C928,""T""""Z"")"),44798.0)</f>
        <v>44798</v>
      </c>
      <c r="M928" s="8">
        <f>IFERROR(__xludf.DUMMYFUNCTION("""COMPUTED_VALUE"""),0.5252777777777777)</f>
        <v>0.5252777778</v>
      </c>
      <c r="N928" s="10">
        <f t="shared" si="2"/>
        <v>132.6066667</v>
      </c>
      <c r="O928" s="11">
        <f t="shared" si="3"/>
        <v>0.8</v>
      </c>
    </row>
    <row r="929">
      <c r="A929" s="1" t="s">
        <v>2803</v>
      </c>
      <c r="B929" s="1" t="s">
        <v>2804</v>
      </c>
      <c r="C929" s="1" t="s">
        <v>2805</v>
      </c>
      <c r="D929" s="1">
        <v>30.0</v>
      </c>
      <c r="E929" s="1" t="s">
        <v>161</v>
      </c>
      <c r="F929" s="1">
        <v>1966.0</v>
      </c>
      <c r="G929" s="1">
        <v>852.0</v>
      </c>
      <c r="H929" s="1">
        <v>767.0</v>
      </c>
      <c r="I929" s="7">
        <f>IFERROR(__xludf.DUMMYFUNCTION("SPLIT(B929,""T""""Z"")"),43881.0)</f>
        <v>43881</v>
      </c>
      <c r="J929" s="8">
        <f>IFERROR(__xludf.DUMMYFUNCTION("""COMPUTED_VALUE"""),0.24829861111111112)</f>
        <v>0.2482986111</v>
      </c>
      <c r="K929" s="9">
        <f t="shared" si="1"/>
        <v>2</v>
      </c>
      <c r="L929" s="7">
        <f>IFERROR(__xludf.DUMMYFUNCTION("SPLIT(C929,""T""""Z"")"),44798.0)</f>
        <v>44798</v>
      </c>
      <c r="M929" s="8">
        <f>IFERROR(__xludf.DUMMYFUNCTION("""COMPUTED_VALUE"""),0.5997453703703703)</f>
        <v>0.5997453704</v>
      </c>
      <c r="N929" s="10">
        <f t="shared" si="2"/>
        <v>134.3938889</v>
      </c>
      <c r="O929" s="11">
        <f t="shared" si="3"/>
        <v>0.9002347418</v>
      </c>
    </row>
    <row r="930">
      <c r="A930" s="1" t="s">
        <v>2806</v>
      </c>
      <c r="B930" s="1" t="s">
        <v>2807</v>
      </c>
      <c r="C930" s="1" t="s">
        <v>2808</v>
      </c>
      <c r="D930" s="1">
        <v>44.0</v>
      </c>
      <c r="E930" s="1" t="s">
        <v>1225</v>
      </c>
      <c r="F930" s="1">
        <v>789.0</v>
      </c>
      <c r="G930" s="1">
        <v>1308.0</v>
      </c>
      <c r="H930" s="1">
        <v>1141.0</v>
      </c>
      <c r="I930" s="7">
        <f>IFERROR(__xludf.DUMMYFUNCTION("SPLIT(B930,""T""""Z"")"),41803.0)</f>
        <v>41803</v>
      </c>
      <c r="J930" s="8">
        <f>IFERROR(__xludf.DUMMYFUNCTION("""COMPUTED_VALUE"""),0.01597222222222222)</f>
        <v>0.01597222222</v>
      </c>
      <c r="K930" s="9">
        <f t="shared" si="1"/>
        <v>8</v>
      </c>
      <c r="L930" s="7">
        <f>IFERROR(__xludf.DUMMYFUNCTION("SPLIT(C930,""T""""Z"")"),44798.0)</f>
        <v>44798</v>
      </c>
      <c r="M930" s="8">
        <f>IFERROR(__xludf.DUMMYFUNCTION("""COMPUTED_VALUE"""),0.338125)</f>
        <v>0.338125</v>
      </c>
      <c r="N930" s="10">
        <f t="shared" si="2"/>
        <v>128.115</v>
      </c>
      <c r="O930" s="11">
        <f t="shared" si="3"/>
        <v>0.872324159</v>
      </c>
    </row>
    <row r="931">
      <c r="A931" s="1" t="s">
        <v>2809</v>
      </c>
      <c r="B931" s="1" t="s">
        <v>2810</v>
      </c>
      <c r="C931" s="1" t="s">
        <v>1925</v>
      </c>
      <c r="D931" s="1">
        <v>52.0</v>
      </c>
      <c r="E931" s="1" t="s">
        <v>38</v>
      </c>
      <c r="F931" s="1">
        <v>982.0</v>
      </c>
      <c r="G931" s="1">
        <v>1906.0</v>
      </c>
      <c r="H931" s="1">
        <v>1894.0</v>
      </c>
      <c r="I931" s="7">
        <f>IFERROR(__xludf.DUMMYFUNCTION("SPLIT(B931,""T""""Z"")"),42065.0)</f>
        <v>42065</v>
      </c>
      <c r="J931" s="8">
        <f>IFERROR(__xludf.DUMMYFUNCTION("""COMPUTED_VALUE"""),0.1506712962962963)</f>
        <v>0.1506712963</v>
      </c>
      <c r="K931" s="9">
        <f t="shared" si="1"/>
        <v>7</v>
      </c>
      <c r="L931" s="7">
        <f>IFERROR(__xludf.DUMMYFUNCTION("SPLIT(C931,""T""""Z"")"),44798.0)</f>
        <v>44798</v>
      </c>
      <c r="M931" s="8">
        <f>IFERROR(__xludf.DUMMYFUNCTION("""COMPUTED_VALUE"""),0.5261342592592593)</f>
        <v>0.5261342593</v>
      </c>
      <c r="N931" s="10">
        <f t="shared" si="2"/>
        <v>132.6272222</v>
      </c>
      <c r="O931" s="11">
        <f t="shared" si="3"/>
        <v>0.9937040923</v>
      </c>
    </row>
    <row r="932">
      <c r="A932" s="1" t="s">
        <v>2811</v>
      </c>
      <c r="B932" s="1" t="s">
        <v>2812</v>
      </c>
      <c r="C932" s="1" t="s">
        <v>2813</v>
      </c>
      <c r="D932" s="1">
        <v>0.0</v>
      </c>
      <c r="E932" s="1" t="s">
        <v>347</v>
      </c>
      <c r="F932" s="1">
        <v>1.0</v>
      </c>
      <c r="G932" s="1">
        <v>11.0</v>
      </c>
      <c r="H932" s="1">
        <v>3.0</v>
      </c>
      <c r="I932" s="7">
        <f>IFERROR(__xludf.DUMMYFUNCTION("SPLIT(B932,""T""""Z"")"),43220.0)</f>
        <v>43220</v>
      </c>
      <c r="J932" s="8">
        <f>IFERROR(__xludf.DUMMYFUNCTION("""COMPUTED_VALUE"""),0.43438657407407405)</f>
        <v>0.4343865741</v>
      </c>
      <c r="K932" s="9">
        <f t="shared" si="1"/>
        <v>4</v>
      </c>
      <c r="L932" s="7">
        <f>IFERROR(__xludf.DUMMYFUNCTION("SPLIT(C932,""T""""Z"")"),44798.0)</f>
        <v>44798</v>
      </c>
      <c r="M932" s="8">
        <f>IFERROR(__xludf.DUMMYFUNCTION("""COMPUTED_VALUE"""),0.467662037037037)</f>
        <v>0.467662037</v>
      </c>
      <c r="N932" s="10">
        <f t="shared" si="2"/>
        <v>131.2238889</v>
      </c>
      <c r="O932" s="11">
        <f t="shared" si="3"/>
        <v>0.2727272727</v>
      </c>
    </row>
    <row r="933">
      <c r="A933" s="1" t="s">
        <v>2814</v>
      </c>
      <c r="B933" s="1" t="s">
        <v>2815</v>
      </c>
      <c r="C933" s="1" t="s">
        <v>2816</v>
      </c>
      <c r="D933" s="1">
        <v>772.0</v>
      </c>
      <c r="E933" s="1" t="s">
        <v>18</v>
      </c>
      <c r="F933" s="1">
        <v>1385.0</v>
      </c>
      <c r="G933" s="1">
        <v>2609.0</v>
      </c>
      <c r="H933" s="1">
        <v>1828.0</v>
      </c>
      <c r="I933" s="7">
        <f>IFERROR(__xludf.DUMMYFUNCTION("SPLIT(B933,""T""""Z"")"),42397.0)</f>
        <v>42397</v>
      </c>
      <c r="J933" s="8">
        <f>IFERROR(__xludf.DUMMYFUNCTION("""COMPUTED_VALUE"""),0.31994212962962965)</f>
        <v>0.3199421296</v>
      </c>
      <c r="K933" s="9">
        <f t="shared" si="1"/>
        <v>6</v>
      </c>
      <c r="L933" s="7">
        <f>IFERROR(__xludf.DUMMYFUNCTION("SPLIT(C933,""T""""Z"")"),44798.0)</f>
        <v>44798</v>
      </c>
      <c r="M933" s="8">
        <f>IFERROR(__xludf.DUMMYFUNCTION("""COMPUTED_VALUE"""),0.5905208333333334)</f>
        <v>0.5905208333</v>
      </c>
      <c r="N933" s="10">
        <f t="shared" si="2"/>
        <v>134.1725</v>
      </c>
      <c r="O933" s="11">
        <f t="shared" si="3"/>
        <v>0.7006515906</v>
      </c>
    </row>
    <row r="934">
      <c r="A934" s="1" t="s">
        <v>2817</v>
      </c>
      <c r="B934" s="1" t="s">
        <v>2818</v>
      </c>
      <c r="C934" s="1" t="s">
        <v>2819</v>
      </c>
      <c r="D934" s="1">
        <v>65.0</v>
      </c>
      <c r="E934" s="1" t="s">
        <v>88</v>
      </c>
      <c r="F934" s="1">
        <v>12263.0</v>
      </c>
      <c r="G934" s="1">
        <v>2976.0</v>
      </c>
      <c r="H934" s="1">
        <v>2535.0</v>
      </c>
      <c r="I934" s="7">
        <f>IFERROR(__xludf.DUMMYFUNCTION("SPLIT(B934,""T""""Z"")"),43657.0)</f>
        <v>43657</v>
      </c>
      <c r="J934" s="8">
        <f>IFERROR(__xludf.DUMMYFUNCTION("""COMPUTED_VALUE"""),0.35680555555555554)</f>
        <v>0.3568055556</v>
      </c>
      <c r="K934" s="9">
        <f t="shared" si="1"/>
        <v>3</v>
      </c>
      <c r="L934" s="7">
        <f>IFERROR(__xludf.DUMMYFUNCTION("SPLIT(C934,""T""""Z"")"),44798.0)</f>
        <v>44798</v>
      </c>
      <c r="M934" s="8">
        <f>IFERROR(__xludf.DUMMYFUNCTION("""COMPUTED_VALUE"""),0.49693287037037037)</f>
        <v>0.4969328704</v>
      </c>
      <c r="N934" s="10">
        <f t="shared" si="2"/>
        <v>131.9263889</v>
      </c>
      <c r="O934" s="11">
        <f t="shared" si="3"/>
        <v>0.8518145161</v>
      </c>
    </row>
    <row r="935">
      <c r="A935" s="1" t="s">
        <v>2820</v>
      </c>
      <c r="B935" s="1" t="s">
        <v>2821</v>
      </c>
      <c r="C935" s="1" t="s">
        <v>2822</v>
      </c>
      <c r="D935" s="1">
        <v>21.0</v>
      </c>
      <c r="E935" s="1" t="s">
        <v>124</v>
      </c>
      <c r="F935" s="1">
        <v>1329.0</v>
      </c>
      <c r="G935" s="1">
        <v>1444.0</v>
      </c>
      <c r="H935" s="1">
        <v>1342.0</v>
      </c>
      <c r="I935" s="7">
        <f>IFERROR(__xludf.DUMMYFUNCTION("SPLIT(B935,""T""""Z"")"),41779.0)</f>
        <v>41779</v>
      </c>
      <c r="J935" s="8">
        <f>IFERROR(__xludf.DUMMYFUNCTION("""COMPUTED_VALUE"""),0.8088310185185185)</f>
        <v>0.8088310185</v>
      </c>
      <c r="K935" s="9">
        <f t="shared" si="1"/>
        <v>8</v>
      </c>
      <c r="L935" s="7">
        <f>IFERROR(__xludf.DUMMYFUNCTION("SPLIT(C935,""T""""Z"")"),44798.0)</f>
        <v>44798</v>
      </c>
      <c r="M935" s="8">
        <f>IFERROR(__xludf.DUMMYFUNCTION("""COMPUTED_VALUE"""),0.532962962962963)</f>
        <v>0.532962963</v>
      </c>
      <c r="N935" s="10">
        <f t="shared" si="2"/>
        <v>132.7911111</v>
      </c>
      <c r="O935" s="11">
        <f t="shared" si="3"/>
        <v>0.9293628809</v>
      </c>
    </row>
    <row r="936">
      <c r="A936" s="1" t="s">
        <v>2823</v>
      </c>
      <c r="B936" s="1" t="s">
        <v>2824</v>
      </c>
      <c r="C936" s="1" t="s">
        <v>2825</v>
      </c>
      <c r="D936" s="1">
        <v>0.0</v>
      </c>
      <c r="E936" s="1" t="s">
        <v>48</v>
      </c>
      <c r="F936" s="1">
        <v>407.0</v>
      </c>
      <c r="G936" s="1">
        <v>2205.0</v>
      </c>
      <c r="H936" s="1">
        <v>2081.0</v>
      </c>
      <c r="I936" s="7">
        <f>IFERROR(__xludf.DUMMYFUNCTION("SPLIT(B936,""T""""Z"")"),41168.0)</f>
        <v>41168</v>
      </c>
      <c r="J936" s="8">
        <f>IFERROR(__xludf.DUMMYFUNCTION("""COMPUTED_VALUE"""),0.693125)</f>
        <v>0.693125</v>
      </c>
      <c r="K936" s="9">
        <f t="shared" si="1"/>
        <v>9</v>
      </c>
      <c r="L936" s="7">
        <f>IFERROR(__xludf.DUMMYFUNCTION("SPLIT(C936,""T""""Z"")"),44798.0)</f>
        <v>44798</v>
      </c>
      <c r="M936" s="8">
        <f>IFERROR(__xludf.DUMMYFUNCTION("""COMPUTED_VALUE"""),0.5945254629629629)</f>
        <v>0.594525463</v>
      </c>
      <c r="N936" s="10">
        <f t="shared" si="2"/>
        <v>134.2686111</v>
      </c>
      <c r="O936" s="11">
        <f t="shared" si="3"/>
        <v>0.9437641723</v>
      </c>
    </row>
    <row r="937">
      <c r="A937" s="1" t="s">
        <v>2826</v>
      </c>
      <c r="B937" s="1" t="s">
        <v>2827</v>
      </c>
      <c r="C937" s="1" t="s">
        <v>2828</v>
      </c>
      <c r="D937" s="1">
        <v>140.0</v>
      </c>
      <c r="E937" s="1" t="s">
        <v>38</v>
      </c>
      <c r="F937" s="1">
        <v>3753.0</v>
      </c>
      <c r="G937" s="1">
        <v>4411.0</v>
      </c>
      <c r="H937" s="1">
        <v>4321.0</v>
      </c>
      <c r="I937" s="7">
        <f>IFERROR(__xludf.DUMMYFUNCTION("SPLIT(B937,""T""""Z"")"),41824.0)</f>
        <v>41824</v>
      </c>
      <c r="J937" s="8">
        <f>IFERROR(__xludf.DUMMYFUNCTION("""COMPUTED_VALUE"""),0.16318287037037038)</f>
        <v>0.1631828704</v>
      </c>
      <c r="K937" s="9">
        <f t="shared" si="1"/>
        <v>8</v>
      </c>
      <c r="L937" s="7">
        <f>IFERROR(__xludf.DUMMYFUNCTION("SPLIT(C937,""T""""Z"")"),44798.0)</f>
        <v>44798</v>
      </c>
      <c r="M937" s="8">
        <f>IFERROR(__xludf.DUMMYFUNCTION("""COMPUTED_VALUE"""),0.47291666666666665)</f>
        <v>0.4729166667</v>
      </c>
      <c r="N937" s="10">
        <f t="shared" si="2"/>
        <v>131.35</v>
      </c>
      <c r="O937" s="11">
        <f t="shared" si="3"/>
        <v>0.9795964634</v>
      </c>
    </row>
    <row r="938">
      <c r="A938" s="1" t="s">
        <v>2829</v>
      </c>
      <c r="B938" s="1" t="s">
        <v>2830</v>
      </c>
      <c r="C938" s="1" t="s">
        <v>2134</v>
      </c>
      <c r="D938" s="1">
        <v>160.0</v>
      </c>
      <c r="E938" s="1" t="s">
        <v>18</v>
      </c>
      <c r="F938" s="1">
        <v>589.0</v>
      </c>
      <c r="G938" s="1">
        <v>2112.0</v>
      </c>
      <c r="H938" s="1">
        <v>2088.0</v>
      </c>
      <c r="I938" s="7">
        <f>IFERROR(__xludf.DUMMYFUNCTION("SPLIT(B938,""T""""Z"")"),42663.0)</f>
        <v>42663</v>
      </c>
      <c r="J938" s="8">
        <f>IFERROR(__xludf.DUMMYFUNCTION("""COMPUTED_VALUE"""),0.7257870370370371)</f>
        <v>0.725787037</v>
      </c>
      <c r="K938" s="9">
        <f t="shared" si="1"/>
        <v>5</v>
      </c>
      <c r="L938" s="7">
        <f>IFERROR(__xludf.DUMMYFUNCTION("SPLIT(C938,""T""""Z"")"),44798.0)</f>
        <v>44798</v>
      </c>
      <c r="M938" s="8">
        <f>IFERROR(__xludf.DUMMYFUNCTION("""COMPUTED_VALUE"""),0.5991319444444444)</f>
        <v>0.5991319444</v>
      </c>
      <c r="N938" s="10">
        <f t="shared" si="2"/>
        <v>134.3791667</v>
      </c>
      <c r="O938" s="11">
        <f t="shared" si="3"/>
        <v>0.9886363636</v>
      </c>
    </row>
    <row r="939">
      <c r="A939" s="1" t="s">
        <v>2831</v>
      </c>
      <c r="B939" s="1" t="s">
        <v>2832</v>
      </c>
      <c r="C939" s="1" t="s">
        <v>2833</v>
      </c>
      <c r="D939" s="1">
        <v>22.0</v>
      </c>
      <c r="E939" s="1" t="s">
        <v>48</v>
      </c>
      <c r="F939" s="1">
        <v>93.0</v>
      </c>
      <c r="G939" s="1">
        <v>329.0</v>
      </c>
      <c r="H939" s="1">
        <v>329.0</v>
      </c>
      <c r="I939" s="7">
        <f>IFERROR(__xludf.DUMMYFUNCTION("SPLIT(B939,""T""""Z"")"),41489.0)</f>
        <v>41489</v>
      </c>
      <c r="J939" s="8">
        <f>IFERROR(__xludf.DUMMYFUNCTION("""COMPUTED_VALUE"""),0.014027777777777778)</f>
        <v>0.01402777778</v>
      </c>
      <c r="K939" s="9">
        <f t="shared" si="1"/>
        <v>9</v>
      </c>
      <c r="L939" s="7">
        <f>IFERROR(__xludf.DUMMYFUNCTION("SPLIT(C939,""T""""Z"")"),44798.0)</f>
        <v>44798</v>
      </c>
      <c r="M939" s="8">
        <f>IFERROR(__xludf.DUMMYFUNCTION("""COMPUTED_VALUE"""),0.5124537037037037)</f>
        <v>0.5124537037</v>
      </c>
      <c r="N939" s="10">
        <f t="shared" si="2"/>
        <v>132.2988889</v>
      </c>
      <c r="O939" s="11">
        <f t="shared" si="3"/>
        <v>1</v>
      </c>
    </row>
    <row r="940">
      <c r="A940" s="1" t="s">
        <v>2834</v>
      </c>
      <c r="B940" s="1" t="s">
        <v>2835</v>
      </c>
      <c r="C940" s="1" t="s">
        <v>2836</v>
      </c>
      <c r="D940" s="1">
        <v>43.0</v>
      </c>
      <c r="E940" s="1" t="s">
        <v>18</v>
      </c>
      <c r="F940" s="1">
        <v>165.0</v>
      </c>
      <c r="G940" s="1">
        <v>285.0</v>
      </c>
      <c r="H940" s="1">
        <v>217.0</v>
      </c>
      <c r="I940" s="7">
        <f>IFERROR(__xludf.DUMMYFUNCTION("SPLIT(B940,""T""""Z"")"),42898.0)</f>
        <v>42898</v>
      </c>
      <c r="J940" s="8">
        <f>IFERROR(__xludf.DUMMYFUNCTION("""COMPUTED_VALUE"""),0.2586574074074074)</f>
        <v>0.2586574074</v>
      </c>
      <c r="K940" s="9">
        <f t="shared" si="1"/>
        <v>5</v>
      </c>
      <c r="L940" s="7">
        <f>IFERROR(__xludf.DUMMYFUNCTION("SPLIT(C940,""T""""Z"")"),44798.0)</f>
        <v>44798</v>
      </c>
      <c r="M940" s="8">
        <f>IFERROR(__xludf.DUMMYFUNCTION("""COMPUTED_VALUE"""),0.5806828703703704)</f>
        <v>0.5806828704</v>
      </c>
      <c r="N940" s="10">
        <f t="shared" si="2"/>
        <v>133.9363889</v>
      </c>
      <c r="O940" s="11">
        <f t="shared" si="3"/>
        <v>0.7614035088</v>
      </c>
    </row>
    <row r="941">
      <c r="A941" s="1" t="s">
        <v>2837</v>
      </c>
      <c r="B941" s="1" t="s">
        <v>2838</v>
      </c>
      <c r="C941" s="1" t="s">
        <v>2839</v>
      </c>
      <c r="D941" s="1">
        <v>0.0</v>
      </c>
      <c r="E941" s="1" t="s">
        <v>48</v>
      </c>
      <c r="F941" s="1">
        <v>294.0</v>
      </c>
      <c r="G941" s="1">
        <v>583.0</v>
      </c>
      <c r="H941" s="1">
        <v>549.0</v>
      </c>
      <c r="I941" s="7">
        <f>IFERROR(__xludf.DUMMYFUNCTION("SPLIT(B941,""T""""Z"")"),41868.0)</f>
        <v>41868</v>
      </c>
      <c r="J941" s="8">
        <f>IFERROR(__xludf.DUMMYFUNCTION("""COMPUTED_VALUE"""),0.6827199074074074)</f>
        <v>0.6827199074</v>
      </c>
      <c r="K941" s="9">
        <f t="shared" si="1"/>
        <v>8</v>
      </c>
      <c r="L941" s="7">
        <f>IFERROR(__xludf.DUMMYFUNCTION("SPLIT(C941,""T""""Z"")"),44798.0)</f>
        <v>44798</v>
      </c>
      <c r="M941" s="8">
        <f>IFERROR(__xludf.DUMMYFUNCTION("""COMPUTED_VALUE"""),0.3157986111111111)</f>
        <v>0.3157986111</v>
      </c>
      <c r="N941" s="10">
        <f t="shared" si="2"/>
        <v>127.5791667</v>
      </c>
      <c r="O941" s="11">
        <f t="shared" si="3"/>
        <v>0.9416809605</v>
      </c>
    </row>
    <row r="942">
      <c r="A942" s="1" t="s">
        <v>2840</v>
      </c>
      <c r="B942" s="1" t="s">
        <v>2841</v>
      </c>
      <c r="C942" s="1" t="s">
        <v>2842</v>
      </c>
      <c r="D942" s="1">
        <v>60.0</v>
      </c>
      <c r="E942" s="1" t="s">
        <v>38</v>
      </c>
      <c r="F942" s="1">
        <v>3590.0</v>
      </c>
      <c r="G942" s="1">
        <v>3178.0</v>
      </c>
      <c r="H942" s="1">
        <v>3132.0</v>
      </c>
      <c r="I942" s="7">
        <f>IFERROR(__xludf.DUMMYFUNCTION("SPLIT(B942,""T""""Z"")"),42872.0)</f>
        <v>42872</v>
      </c>
      <c r="J942" s="8">
        <f>IFERROR(__xludf.DUMMYFUNCTION("""COMPUTED_VALUE"""),0.9922800925925926)</f>
        <v>0.9922800926</v>
      </c>
      <c r="K942" s="9">
        <f t="shared" si="1"/>
        <v>5</v>
      </c>
      <c r="L942" s="7">
        <f>IFERROR(__xludf.DUMMYFUNCTION("SPLIT(C942,""T""""Z"")"),44798.0)</f>
        <v>44798</v>
      </c>
      <c r="M942" s="8">
        <f>IFERROR(__xludf.DUMMYFUNCTION("""COMPUTED_VALUE"""),0.522824074074074)</f>
        <v>0.5228240741</v>
      </c>
      <c r="N942" s="10">
        <f t="shared" si="2"/>
        <v>132.5477778</v>
      </c>
      <c r="O942" s="11">
        <f t="shared" si="3"/>
        <v>0.9855254877</v>
      </c>
    </row>
    <row r="943">
      <c r="A943" s="1" t="s">
        <v>2843</v>
      </c>
      <c r="B943" s="1" t="s">
        <v>2844</v>
      </c>
      <c r="C943" s="1" t="s">
        <v>2845</v>
      </c>
      <c r="D943" s="1">
        <v>143.0</v>
      </c>
      <c r="E943" s="1" t="s">
        <v>18</v>
      </c>
      <c r="F943" s="1">
        <v>2193.0</v>
      </c>
      <c r="G943" s="1">
        <v>1017.0</v>
      </c>
      <c r="H943" s="1">
        <v>888.0</v>
      </c>
      <c r="I943" s="7">
        <f>IFERROR(__xludf.DUMMYFUNCTION("SPLIT(B943,""T""""Z"")"),42185.0)</f>
        <v>42185</v>
      </c>
      <c r="J943" s="8">
        <f>IFERROR(__xludf.DUMMYFUNCTION("""COMPUTED_VALUE"""),0.5116898148148148)</f>
        <v>0.5116898148</v>
      </c>
      <c r="K943" s="9">
        <f t="shared" si="1"/>
        <v>7</v>
      </c>
      <c r="L943" s="7">
        <f>IFERROR(__xludf.DUMMYFUNCTION("SPLIT(C943,""T""""Z"")"),44798.0)</f>
        <v>44798</v>
      </c>
      <c r="M943" s="8">
        <f>IFERROR(__xludf.DUMMYFUNCTION("""COMPUTED_VALUE"""),0.14418981481481483)</f>
        <v>0.1441898148</v>
      </c>
      <c r="N943" s="10">
        <f t="shared" si="2"/>
        <v>123.4605556</v>
      </c>
      <c r="O943" s="11">
        <f t="shared" si="3"/>
        <v>0.8731563422</v>
      </c>
    </row>
    <row r="944">
      <c r="A944" s="1" t="s">
        <v>2846</v>
      </c>
      <c r="B944" s="1" t="s">
        <v>2847</v>
      </c>
      <c r="C944" s="1" t="s">
        <v>2848</v>
      </c>
      <c r="D944" s="1">
        <v>2.0</v>
      </c>
      <c r="E944" s="1" t="s">
        <v>347</v>
      </c>
      <c r="F944" s="1">
        <v>42.0</v>
      </c>
      <c r="G944" s="1">
        <v>85.0</v>
      </c>
      <c r="H944" s="1">
        <v>17.0</v>
      </c>
      <c r="I944" s="7">
        <f>IFERROR(__xludf.DUMMYFUNCTION("SPLIT(B944,""T""""Z"")"),42325.0)</f>
        <v>42325</v>
      </c>
      <c r="J944" s="8">
        <f>IFERROR(__xludf.DUMMYFUNCTION("""COMPUTED_VALUE"""),0.4705787037037037)</f>
        <v>0.4705787037</v>
      </c>
      <c r="K944" s="9">
        <f t="shared" si="1"/>
        <v>6</v>
      </c>
      <c r="L944" s="7">
        <f>IFERROR(__xludf.DUMMYFUNCTION("SPLIT(C944,""T""""Z"")"),44798.0)</f>
        <v>44798</v>
      </c>
      <c r="M944" s="8">
        <f>IFERROR(__xludf.DUMMYFUNCTION("""COMPUTED_VALUE"""),0.4312152777777778)</f>
        <v>0.4312152778</v>
      </c>
      <c r="N944" s="10">
        <f t="shared" si="2"/>
        <v>130.3491667</v>
      </c>
      <c r="O944" s="11">
        <f t="shared" si="3"/>
        <v>0.2</v>
      </c>
    </row>
    <row r="945">
      <c r="A945" s="1" t="s">
        <v>2849</v>
      </c>
      <c r="B945" s="1" t="s">
        <v>2850</v>
      </c>
      <c r="C945" s="1" t="s">
        <v>2851</v>
      </c>
      <c r="D945" s="1">
        <v>12.0</v>
      </c>
      <c r="E945" s="1" t="s">
        <v>161</v>
      </c>
      <c r="F945" s="1">
        <v>223.0</v>
      </c>
      <c r="G945" s="1">
        <v>794.0</v>
      </c>
      <c r="H945" s="1">
        <v>565.0</v>
      </c>
      <c r="I945" s="7">
        <f>IFERROR(__xludf.DUMMYFUNCTION("SPLIT(B945,""T""""Z"")"),41781.0)</f>
        <v>41781</v>
      </c>
      <c r="J945" s="8">
        <f>IFERROR(__xludf.DUMMYFUNCTION("""COMPUTED_VALUE"""),0.5314351851851852)</f>
        <v>0.5314351852</v>
      </c>
      <c r="K945" s="9">
        <f t="shared" si="1"/>
        <v>8</v>
      </c>
      <c r="L945" s="7">
        <f>IFERROR(__xludf.DUMMYFUNCTION("SPLIT(C945,""T""""Z"")"),44798.0)</f>
        <v>44798</v>
      </c>
      <c r="M945" s="8">
        <f>IFERROR(__xludf.DUMMYFUNCTION("""COMPUTED_VALUE"""),0.6075810185185185)</f>
        <v>0.6075810185</v>
      </c>
      <c r="N945" s="10">
        <f t="shared" si="2"/>
        <v>134.5819444</v>
      </c>
      <c r="O945" s="11">
        <f t="shared" si="3"/>
        <v>0.7115869018</v>
      </c>
    </row>
    <row r="946">
      <c r="A946" s="1" t="s">
        <v>2852</v>
      </c>
      <c r="B946" s="1" t="s">
        <v>2853</v>
      </c>
      <c r="C946" s="1" t="s">
        <v>2854</v>
      </c>
      <c r="D946" s="1">
        <v>16.0</v>
      </c>
      <c r="E946" s="1" t="s">
        <v>38</v>
      </c>
      <c r="F946" s="1">
        <v>120.0</v>
      </c>
      <c r="G946" s="1">
        <v>3538.0</v>
      </c>
      <c r="H946" s="1">
        <v>2896.0</v>
      </c>
      <c r="I946" s="7">
        <f>IFERROR(__xludf.DUMMYFUNCTION("SPLIT(B946,""T""""Z"")"),42976.0)</f>
        <v>42976</v>
      </c>
      <c r="J946" s="8">
        <f>IFERROR(__xludf.DUMMYFUNCTION("""COMPUTED_VALUE"""),0.6848611111111111)</f>
        <v>0.6848611111</v>
      </c>
      <c r="K946" s="9">
        <f t="shared" si="1"/>
        <v>5</v>
      </c>
      <c r="L946" s="7">
        <f>IFERROR(__xludf.DUMMYFUNCTION("SPLIT(C946,""T""""Z"")"),44798.0)</f>
        <v>44798</v>
      </c>
      <c r="M946" s="8">
        <f>IFERROR(__xludf.DUMMYFUNCTION("""COMPUTED_VALUE"""),0.6079629629629629)</f>
        <v>0.607962963</v>
      </c>
      <c r="N946" s="10">
        <f t="shared" si="2"/>
        <v>134.5911111</v>
      </c>
      <c r="O946" s="11">
        <f t="shared" si="3"/>
        <v>0.8185415489</v>
      </c>
    </row>
    <row r="947">
      <c r="A947" s="1" t="s">
        <v>2855</v>
      </c>
      <c r="B947" s="1" t="s">
        <v>2856</v>
      </c>
      <c r="C947" s="1" t="s">
        <v>2857</v>
      </c>
      <c r="D947" s="1">
        <v>47.0</v>
      </c>
      <c r="E947" s="1" t="s">
        <v>52</v>
      </c>
      <c r="F947" s="1">
        <v>211.0</v>
      </c>
      <c r="G947" s="1">
        <v>1108.0</v>
      </c>
      <c r="H947" s="1">
        <v>912.0</v>
      </c>
      <c r="I947" s="7">
        <f>IFERROR(__xludf.DUMMYFUNCTION("SPLIT(B947,""T""""Z"")"),42123.0)</f>
        <v>42123</v>
      </c>
      <c r="J947" s="8">
        <f>IFERROR(__xludf.DUMMYFUNCTION("""COMPUTED_VALUE"""),0.2913425925925926)</f>
        <v>0.2913425926</v>
      </c>
      <c r="K947" s="9">
        <f t="shared" si="1"/>
        <v>7</v>
      </c>
      <c r="L947" s="7">
        <f>IFERROR(__xludf.DUMMYFUNCTION("SPLIT(C947,""T""""Z"")"),44798.0)</f>
        <v>44798</v>
      </c>
      <c r="M947" s="8">
        <f>IFERROR(__xludf.DUMMYFUNCTION("""COMPUTED_VALUE"""),0.43094907407407407)</f>
        <v>0.4309490741</v>
      </c>
      <c r="N947" s="10">
        <f t="shared" si="2"/>
        <v>130.3427778</v>
      </c>
      <c r="O947" s="11">
        <f t="shared" si="3"/>
        <v>0.8231046931</v>
      </c>
    </row>
    <row r="948">
      <c r="A948" s="1" t="s">
        <v>2858</v>
      </c>
      <c r="B948" s="1" t="s">
        <v>2859</v>
      </c>
      <c r="C948" s="1" t="s">
        <v>2860</v>
      </c>
      <c r="D948" s="1">
        <v>10.0</v>
      </c>
      <c r="E948" s="1" t="s">
        <v>95</v>
      </c>
      <c r="F948" s="1">
        <v>338.0</v>
      </c>
      <c r="G948" s="1">
        <v>637.0</v>
      </c>
      <c r="H948" s="1">
        <v>473.0</v>
      </c>
      <c r="I948" s="7">
        <f>IFERROR(__xludf.DUMMYFUNCTION("SPLIT(B948,""T""""Z"")"),43326.0)</f>
        <v>43326</v>
      </c>
      <c r="J948" s="8">
        <f>IFERROR(__xludf.DUMMYFUNCTION("""COMPUTED_VALUE"""),0.43896990740740743)</f>
        <v>0.4389699074</v>
      </c>
      <c r="K948" s="9">
        <f t="shared" si="1"/>
        <v>4</v>
      </c>
      <c r="L948" s="7">
        <f>IFERROR(__xludf.DUMMYFUNCTION("SPLIT(C948,""T""""Z"")"),44798.0)</f>
        <v>44798</v>
      </c>
      <c r="M948" s="8">
        <f>IFERROR(__xludf.DUMMYFUNCTION("""COMPUTED_VALUE"""),0.36246527777777776)</f>
        <v>0.3624652778</v>
      </c>
      <c r="N948" s="10">
        <f t="shared" si="2"/>
        <v>128.6991667</v>
      </c>
      <c r="O948" s="11">
        <f t="shared" si="3"/>
        <v>0.7425431711</v>
      </c>
    </row>
    <row r="949">
      <c r="A949" s="1" t="s">
        <v>2861</v>
      </c>
      <c r="B949" s="1" t="s">
        <v>2862</v>
      </c>
      <c r="C949" s="1" t="s">
        <v>2863</v>
      </c>
      <c r="D949" s="1">
        <v>23.0</v>
      </c>
      <c r="E949" s="1" t="s">
        <v>186</v>
      </c>
      <c r="F949" s="1">
        <v>238.0</v>
      </c>
      <c r="G949" s="1">
        <v>1330.0</v>
      </c>
      <c r="H949" s="1">
        <v>1057.0</v>
      </c>
      <c r="I949" s="7">
        <f>IFERROR(__xludf.DUMMYFUNCTION("SPLIT(B949,""T""""Z"")"),44113.0)</f>
        <v>44113</v>
      </c>
      <c r="J949" s="8">
        <f>IFERROR(__xludf.DUMMYFUNCTION("""COMPUTED_VALUE"""),0.4196875)</f>
        <v>0.4196875</v>
      </c>
      <c r="K949" s="9">
        <f t="shared" si="1"/>
        <v>1</v>
      </c>
      <c r="L949" s="7">
        <f>IFERROR(__xludf.DUMMYFUNCTION("SPLIT(C949,""T""""Z"")"),44798.0)</f>
        <v>44798</v>
      </c>
      <c r="M949" s="8">
        <f>IFERROR(__xludf.DUMMYFUNCTION("""COMPUTED_VALUE"""),0.578125)</f>
        <v>0.578125</v>
      </c>
      <c r="N949" s="10">
        <f t="shared" si="2"/>
        <v>133.875</v>
      </c>
      <c r="O949" s="11">
        <f t="shared" si="3"/>
        <v>0.7947368421</v>
      </c>
    </row>
    <row r="950">
      <c r="A950" s="1" t="s">
        <v>2864</v>
      </c>
      <c r="B950" s="1" t="s">
        <v>2865</v>
      </c>
      <c r="C950" s="1" t="s">
        <v>2866</v>
      </c>
      <c r="D950" s="1">
        <v>53.0</v>
      </c>
      <c r="E950" s="1" t="s">
        <v>161</v>
      </c>
      <c r="F950" s="1">
        <v>1531.0</v>
      </c>
      <c r="G950" s="1">
        <v>1259.0</v>
      </c>
      <c r="H950" s="1">
        <v>1138.0</v>
      </c>
      <c r="I950" s="7">
        <f>IFERROR(__xludf.DUMMYFUNCTION("SPLIT(B950,""T""""Z"")"),43027.0)</f>
        <v>43027</v>
      </c>
      <c r="J950" s="8">
        <f>IFERROR(__xludf.DUMMYFUNCTION("""COMPUTED_VALUE"""),0.2630439814814815)</f>
        <v>0.2630439815</v>
      </c>
      <c r="K950" s="9">
        <f t="shared" si="1"/>
        <v>4</v>
      </c>
      <c r="L950" s="7">
        <f>IFERROR(__xludf.DUMMYFUNCTION("SPLIT(C950,""T""""Z"")"),44798.0)</f>
        <v>44798</v>
      </c>
      <c r="M950" s="8">
        <f>IFERROR(__xludf.DUMMYFUNCTION("""COMPUTED_VALUE"""),0.5246064814814815)</f>
        <v>0.5246064815</v>
      </c>
      <c r="N950" s="10">
        <f t="shared" si="2"/>
        <v>132.5905556</v>
      </c>
      <c r="O950" s="11">
        <f t="shared" si="3"/>
        <v>0.9038919778</v>
      </c>
    </row>
    <row r="951">
      <c r="A951" s="1" t="s">
        <v>2867</v>
      </c>
      <c r="B951" s="1" t="s">
        <v>2868</v>
      </c>
      <c r="C951" s="1" t="s">
        <v>2869</v>
      </c>
      <c r="D951" s="1">
        <v>317.0</v>
      </c>
      <c r="E951" s="1" t="s">
        <v>124</v>
      </c>
      <c r="F951" s="1">
        <v>1324.0</v>
      </c>
      <c r="G951" s="1">
        <v>938.0</v>
      </c>
      <c r="H951" s="1">
        <v>857.0</v>
      </c>
      <c r="I951" s="7">
        <f>IFERROR(__xludf.DUMMYFUNCTION("SPLIT(B951,""T""""Z"")"),42017.0)</f>
        <v>42017</v>
      </c>
      <c r="J951" s="8">
        <f>IFERROR(__xludf.DUMMYFUNCTION("""COMPUTED_VALUE"""),0.979375)</f>
        <v>0.979375</v>
      </c>
      <c r="K951" s="9">
        <f t="shared" si="1"/>
        <v>7</v>
      </c>
      <c r="L951" s="7">
        <f>IFERROR(__xludf.DUMMYFUNCTION("SPLIT(C951,""T""""Z"")"),44798.0)</f>
        <v>44798</v>
      </c>
      <c r="M951" s="8">
        <f>IFERROR(__xludf.DUMMYFUNCTION("""COMPUTED_VALUE"""),0.5676157407407407)</f>
        <v>0.5676157407</v>
      </c>
      <c r="N951" s="10">
        <f t="shared" si="2"/>
        <v>133.6227778</v>
      </c>
      <c r="O951" s="11">
        <f t="shared" si="3"/>
        <v>0.9136460554</v>
      </c>
    </row>
    <row r="952">
      <c r="A952" s="1" t="s">
        <v>2870</v>
      </c>
      <c r="B952" s="1" t="s">
        <v>2871</v>
      </c>
      <c r="C952" s="1" t="s">
        <v>2872</v>
      </c>
      <c r="D952" s="1">
        <v>9.0</v>
      </c>
      <c r="E952" s="1" t="s">
        <v>206</v>
      </c>
      <c r="F952" s="1">
        <v>51.0</v>
      </c>
      <c r="G952" s="1">
        <v>58.0</v>
      </c>
      <c r="H952" s="1">
        <v>53.0</v>
      </c>
      <c r="I952" s="7">
        <f>IFERROR(__xludf.DUMMYFUNCTION("SPLIT(B952,""T""""Z"")"),41620.0)</f>
        <v>41620</v>
      </c>
      <c r="J952" s="8">
        <f>IFERROR(__xludf.DUMMYFUNCTION("""COMPUTED_VALUE"""),0.9789467592592592)</f>
        <v>0.9789467593</v>
      </c>
      <c r="K952" s="9">
        <f t="shared" si="1"/>
        <v>8</v>
      </c>
      <c r="L952" s="7">
        <f>IFERROR(__xludf.DUMMYFUNCTION("SPLIT(C952,""T""""Z"")"),44798.0)</f>
        <v>44798</v>
      </c>
      <c r="M952" s="8">
        <f>IFERROR(__xludf.DUMMYFUNCTION("""COMPUTED_VALUE"""),0.5174074074074074)</f>
        <v>0.5174074074</v>
      </c>
      <c r="N952" s="10">
        <f t="shared" si="2"/>
        <v>132.4177778</v>
      </c>
      <c r="O952" s="11">
        <f t="shared" si="3"/>
        <v>0.9137931034</v>
      </c>
    </row>
    <row r="953">
      <c r="A953" s="1" t="s">
        <v>2873</v>
      </c>
      <c r="B953" s="1" t="s">
        <v>2874</v>
      </c>
      <c r="C953" s="1" t="s">
        <v>2875</v>
      </c>
      <c r="D953" s="1">
        <v>88.0</v>
      </c>
      <c r="E953" s="1" t="s">
        <v>18</v>
      </c>
      <c r="F953" s="1">
        <v>1294.0</v>
      </c>
      <c r="G953" s="1">
        <v>1039.0</v>
      </c>
      <c r="H953" s="1">
        <v>864.0</v>
      </c>
      <c r="I953" s="7">
        <f>IFERROR(__xludf.DUMMYFUNCTION("SPLIT(B953,""T""""Z"")"),44130.0)</f>
        <v>44130</v>
      </c>
      <c r="J953" s="8">
        <f>IFERROR(__xludf.DUMMYFUNCTION("""COMPUTED_VALUE"""),0.831574074074074)</f>
        <v>0.8315740741</v>
      </c>
      <c r="K953" s="9">
        <f t="shared" si="1"/>
        <v>1</v>
      </c>
      <c r="L953" s="7">
        <f>IFERROR(__xludf.DUMMYFUNCTION("SPLIT(C953,""T""""Z"")"),44798.0)</f>
        <v>44798</v>
      </c>
      <c r="M953" s="8">
        <f>IFERROR(__xludf.DUMMYFUNCTION("""COMPUTED_VALUE"""),0.5955671296296297)</f>
        <v>0.5955671296</v>
      </c>
      <c r="N953" s="10">
        <f t="shared" si="2"/>
        <v>134.2936111</v>
      </c>
      <c r="O953" s="11">
        <f t="shared" si="3"/>
        <v>0.8315688162</v>
      </c>
    </row>
    <row r="954">
      <c r="A954" s="1" t="s">
        <v>2876</v>
      </c>
      <c r="B954" s="1" t="s">
        <v>2877</v>
      </c>
      <c r="C954" s="1" t="s">
        <v>2878</v>
      </c>
      <c r="D954" s="1">
        <v>54.0</v>
      </c>
      <c r="E954" s="1" t="s">
        <v>124</v>
      </c>
      <c r="F954" s="1">
        <v>595.0</v>
      </c>
      <c r="G954" s="1">
        <v>662.0</v>
      </c>
      <c r="H954" s="1">
        <v>525.0</v>
      </c>
      <c r="I954" s="7">
        <f>IFERROR(__xludf.DUMMYFUNCTION("SPLIT(B954,""T""""Z"")"),41468.0)</f>
        <v>41468</v>
      </c>
      <c r="J954" s="8">
        <f>IFERROR(__xludf.DUMMYFUNCTION("""COMPUTED_VALUE"""),0.8139583333333333)</f>
        <v>0.8139583333</v>
      </c>
      <c r="K954" s="9">
        <f t="shared" si="1"/>
        <v>9</v>
      </c>
      <c r="L954" s="7">
        <f>IFERROR(__xludf.DUMMYFUNCTION("SPLIT(C954,""T""""Z"")"),44798.0)</f>
        <v>44798</v>
      </c>
      <c r="M954" s="8">
        <f>IFERROR(__xludf.DUMMYFUNCTION("""COMPUTED_VALUE"""),0.4761226851851852)</f>
        <v>0.4761226852</v>
      </c>
      <c r="N954" s="10">
        <f t="shared" si="2"/>
        <v>131.4269444</v>
      </c>
      <c r="O954" s="11">
        <f t="shared" si="3"/>
        <v>0.7930513595</v>
      </c>
    </row>
    <row r="955">
      <c r="A955" s="1" t="s">
        <v>2879</v>
      </c>
      <c r="B955" s="1" t="s">
        <v>2880</v>
      </c>
      <c r="C955" s="1" t="s">
        <v>2881</v>
      </c>
      <c r="D955" s="1">
        <v>123.0</v>
      </c>
      <c r="E955" s="1" t="s">
        <v>124</v>
      </c>
      <c r="F955" s="1">
        <v>2187.0</v>
      </c>
      <c r="G955" s="1">
        <v>2334.0</v>
      </c>
      <c r="H955" s="1">
        <v>2030.0</v>
      </c>
      <c r="I955" s="7">
        <f>IFERROR(__xludf.DUMMYFUNCTION("SPLIT(B955,""T""""Z"")"),43635.0)</f>
        <v>43635</v>
      </c>
      <c r="J955" s="8">
        <f>IFERROR(__xludf.DUMMYFUNCTION("""COMPUTED_VALUE"""),0.03409722222222222)</f>
        <v>0.03409722222</v>
      </c>
      <c r="K955" s="9">
        <f t="shared" si="1"/>
        <v>3</v>
      </c>
      <c r="L955" s="7">
        <f>IFERROR(__xludf.DUMMYFUNCTION("SPLIT(C955,""T""""Z"")"),44798.0)</f>
        <v>44798</v>
      </c>
      <c r="M955" s="8">
        <f>IFERROR(__xludf.DUMMYFUNCTION("""COMPUTED_VALUE"""),0.3540509259259259)</f>
        <v>0.3540509259</v>
      </c>
      <c r="N955" s="10">
        <f t="shared" si="2"/>
        <v>128.4972222</v>
      </c>
      <c r="O955" s="11">
        <f t="shared" si="3"/>
        <v>0.8697514996</v>
      </c>
    </row>
    <row r="956">
      <c r="A956" s="1" t="s">
        <v>2882</v>
      </c>
      <c r="B956" s="1" t="s">
        <v>2883</v>
      </c>
      <c r="C956" s="1" t="s">
        <v>2884</v>
      </c>
      <c r="D956" s="1">
        <v>0.0</v>
      </c>
      <c r="E956" s="13" t="s">
        <v>22</v>
      </c>
      <c r="F956" s="1">
        <v>16.0</v>
      </c>
      <c r="G956" s="1">
        <v>74.0</v>
      </c>
      <c r="H956" s="1">
        <v>71.0</v>
      </c>
      <c r="I956" s="7">
        <f>IFERROR(__xludf.DUMMYFUNCTION("SPLIT(B956,""T""""Z"")"),42433.0)</f>
        <v>42433</v>
      </c>
      <c r="J956" s="8">
        <f>IFERROR(__xludf.DUMMYFUNCTION("""COMPUTED_VALUE"""),0.518449074074074)</f>
        <v>0.5184490741</v>
      </c>
      <c r="K956" s="9">
        <f t="shared" si="1"/>
        <v>6</v>
      </c>
      <c r="L956" s="7">
        <f>IFERROR(__xludf.DUMMYFUNCTION("SPLIT(C956,""T""""Z"")"),44797.0)</f>
        <v>44797</v>
      </c>
      <c r="M956" s="8">
        <f>IFERROR(__xludf.DUMMYFUNCTION("""COMPUTED_VALUE"""),0.9855671296296297)</f>
        <v>0.9855671296</v>
      </c>
      <c r="N956" s="12">
        <f t="shared" si="2"/>
        <v>167.6536111</v>
      </c>
      <c r="O956" s="11">
        <f t="shared" si="3"/>
        <v>0.9594594595</v>
      </c>
    </row>
    <row r="957">
      <c r="A957" s="1" t="s">
        <v>2885</v>
      </c>
      <c r="B957" s="1" t="s">
        <v>2886</v>
      </c>
      <c r="C957" s="1" t="s">
        <v>2887</v>
      </c>
      <c r="D957" s="1">
        <v>0.0</v>
      </c>
      <c r="E957" s="13" t="s">
        <v>22</v>
      </c>
      <c r="F957" s="1">
        <v>379.0</v>
      </c>
      <c r="G957" s="1">
        <v>49.0</v>
      </c>
      <c r="H957" s="1">
        <v>49.0</v>
      </c>
      <c r="I957" s="7">
        <f>IFERROR(__xludf.DUMMYFUNCTION("SPLIT(B957,""T""""Z"")"),42382.0)</f>
        <v>42382</v>
      </c>
      <c r="J957" s="8">
        <f>IFERROR(__xludf.DUMMYFUNCTION("""COMPUTED_VALUE"""),0.7870949074074074)</f>
        <v>0.7870949074</v>
      </c>
      <c r="K957" s="9">
        <f t="shared" si="1"/>
        <v>6</v>
      </c>
      <c r="L957" s="7">
        <f>IFERROR(__xludf.DUMMYFUNCTION("SPLIT(C957,""T""""Z"")"),44798.0)</f>
        <v>44798</v>
      </c>
      <c r="M957" s="8">
        <f>IFERROR(__xludf.DUMMYFUNCTION("""COMPUTED_VALUE"""),0.26234953703703706)</f>
        <v>0.262349537</v>
      </c>
      <c r="N957" s="12">
        <f t="shared" si="2"/>
        <v>126.2963889</v>
      </c>
      <c r="O957" s="11">
        <f t="shared" si="3"/>
        <v>1</v>
      </c>
    </row>
    <row r="958">
      <c r="A958" s="1" t="s">
        <v>2888</v>
      </c>
      <c r="B958" s="1" t="s">
        <v>2889</v>
      </c>
      <c r="C958" s="1" t="s">
        <v>2890</v>
      </c>
      <c r="D958" s="1">
        <v>89.0</v>
      </c>
      <c r="E958" s="1" t="s">
        <v>48</v>
      </c>
      <c r="F958" s="1">
        <v>624.0</v>
      </c>
      <c r="G958" s="1">
        <v>2781.0</v>
      </c>
      <c r="H958" s="1">
        <v>2718.0</v>
      </c>
      <c r="I958" s="7">
        <f>IFERROR(__xludf.DUMMYFUNCTION("SPLIT(B958,""T""""Z"")"),41619.0)</f>
        <v>41619</v>
      </c>
      <c r="J958" s="8">
        <f>IFERROR(__xludf.DUMMYFUNCTION("""COMPUTED_VALUE"""),0.8178935185185185)</f>
        <v>0.8178935185</v>
      </c>
      <c r="K958" s="9">
        <f t="shared" si="1"/>
        <v>8</v>
      </c>
      <c r="L958" s="7">
        <f>IFERROR(__xludf.DUMMYFUNCTION("SPLIT(C958,""T""""Z"")"),44798.0)</f>
        <v>44798</v>
      </c>
      <c r="M958" s="8">
        <f>IFERROR(__xludf.DUMMYFUNCTION("""COMPUTED_VALUE"""),0.1257523148148148)</f>
        <v>0.1257523148</v>
      </c>
      <c r="N958" s="10">
        <f t="shared" si="2"/>
        <v>123.0180556</v>
      </c>
      <c r="O958" s="11">
        <f t="shared" si="3"/>
        <v>0.9773462783</v>
      </c>
    </row>
    <row r="959">
      <c r="A959" s="1" t="s">
        <v>2891</v>
      </c>
      <c r="B959" s="1" t="s">
        <v>2892</v>
      </c>
      <c r="C959" s="1" t="s">
        <v>2893</v>
      </c>
      <c r="D959" s="1">
        <v>7.0</v>
      </c>
      <c r="E959" s="1" t="s">
        <v>897</v>
      </c>
      <c r="F959" s="1">
        <v>222.0</v>
      </c>
      <c r="G959" s="1">
        <v>173.0</v>
      </c>
      <c r="H959" s="1">
        <v>138.0</v>
      </c>
      <c r="I959" s="7">
        <f>IFERROR(__xludf.DUMMYFUNCTION("SPLIT(B959,""T""""Z"")"),43367.0)</f>
        <v>43367</v>
      </c>
      <c r="J959" s="8">
        <f>IFERROR(__xludf.DUMMYFUNCTION("""COMPUTED_VALUE"""),0.07582175925925926)</f>
        <v>0.07582175926</v>
      </c>
      <c r="K959" s="9">
        <f t="shared" si="1"/>
        <v>3</v>
      </c>
      <c r="L959" s="7">
        <f>IFERROR(__xludf.DUMMYFUNCTION("SPLIT(C959,""T""""Z"")"),44798.0)</f>
        <v>44798</v>
      </c>
      <c r="M959" s="8">
        <f>IFERROR(__xludf.DUMMYFUNCTION("""COMPUTED_VALUE"""),0.4287962962962963)</f>
        <v>0.4287962963</v>
      </c>
      <c r="N959" s="10">
        <f t="shared" si="2"/>
        <v>130.2911111</v>
      </c>
      <c r="O959" s="11">
        <f t="shared" si="3"/>
        <v>0.7976878613</v>
      </c>
    </row>
    <row r="960">
      <c r="A960" s="1" t="s">
        <v>2894</v>
      </c>
      <c r="B960" s="1" t="s">
        <v>2895</v>
      </c>
      <c r="C960" s="1" t="s">
        <v>2896</v>
      </c>
      <c r="D960" s="1">
        <v>0.0</v>
      </c>
      <c r="E960" s="1" t="s">
        <v>38</v>
      </c>
      <c r="F960" s="1">
        <v>327.0</v>
      </c>
      <c r="G960" s="1">
        <v>541.0</v>
      </c>
      <c r="H960" s="1">
        <v>403.0</v>
      </c>
      <c r="I960" s="7">
        <f>IFERROR(__xludf.DUMMYFUNCTION("SPLIT(B960,""T""""Z"")"),42606.0)</f>
        <v>42606</v>
      </c>
      <c r="J960" s="8">
        <f>IFERROR(__xludf.DUMMYFUNCTION("""COMPUTED_VALUE"""),0.1338888888888889)</f>
        <v>0.1338888889</v>
      </c>
      <c r="K960" s="9">
        <f t="shared" si="1"/>
        <v>6</v>
      </c>
      <c r="L960" s="7">
        <f>IFERROR(__xludf.DUMMYFUNCTION("SPLIT(C960,""T""""Z"")"),44798.0)</f>
        <v>44798</v>
      </c>
      <c r="M960" s="8">
        <f>IFERROR(__xludf.DUMMYFUNCTION("""COMPUTED_VALUE"""),0.35824074074074075)</f>
        <v>0.3582407407</v>
      </c>
      <c r="N960" s="10">
        <f t="shared" si="2"/>
        <v>128.5977778</v>
      </c>
      <c r="O960" s="11">
        <f t="shared" si="3"/>
        <v>0.7449168207</v>
      </c>
    </row>
    <row r="961">
      <c r="A961" s="1" t="s">
        <v>2897</v>
      </c>
      <c r="B961" s="1" t="s">
        <v>2898</v>
      </c>
      <c r="C961" s="1" t="s">
        <v>2899</v>
      </c>
      <c r="D961" s="1">
        <v>21.0</v>
      </c>
      <c r="E961" s="1" t="s">
        <v>996</v>
      </c>
      <c r="F961" s="1">
        <v>2221.0</v>
      </c>
      <c r="G961" s="1">
        <v>0.0</v>
      </c>
      <c r="H961" s="1">
        <v>0.0</v>
      </c>
      <c r="I961" s="7">
        <f>IFERROR(__xludf.DUMMYFUNCTION("SPLIT(B961,""T""""Z"")"),42730.0)</f>
        <v>42730</v>
      </c>
      <c r="J961" s="8">
        <f>IFERROR(__xludf.DUMMYFUNCTION("""COMPUTED_VALUE"""),0.19508101851851853)</f>
        <v>0.1950810185</v>
      </c>
      <c r="K961" s="9">
        <f t="shared" si="1"/>
        <v>5</v>
      </c>
      <c r="L961" s="7">
        <f>IFERROR(__xludf.DUMMYFUNCTION("SPLIT(C961,""T""""Z"")"),44798.0)</f>
        <v>44798</v>
      </c>
      <c r="M961" s="8">
        <f>IFERROR(__xludf.DUMMYFUNCTION("""COMPUTED_VALUE"""),0.5835648148148148)</f>
        <v>0.5835648148</v>
      </c>
      <c r="N961" s="10">
        <f t="shared" si="2"/>
        <v>134.0055556</v>
      </c>
      <c r="O961" s="11">
        <f t="shared" si="3"/>
        <v>0</v>
      </c>
    </row>
    <row r="962">
      <c r="A962" s="1" t="s">
        <v>2900</v>
      </c>
      <c r="B962" s="1" t="s">
        <v>2901</v>
      </c>
      <c r="C962" s="1" t="s">
        <v>459</v>
      </c>
      <c r="D962" s="1">
        <v>74.0</v>
      </c>
      <c r="E962" s="1" t="s">
        <v>124</v>
      </c>
      <c r="F962" s="1">
        <v>244.0</v>
      </c>
      <c r="G962" s="1">
        <v>850.0</v>
      </c>
      <c r="H962" s="1">
        <v>474.0</v>
      </c>
      <c r="I962" s="7">
        <f>IFERROR(__xludf.DUMMYFUNCTION("SPLIT(B962,""T""""Z"")"),43155.0)</f>
        <v>43155</v>
      </c>
      <c r="J962" s="8">
        <f>IFERROR(__xludf.DUMMYFUNCTION("""COMPUTED_VALUE"""),0.47850694444444447)</f>
        <v>0.4785069444</v>
      </c>
      <c r="K962" s="9">
        <f t="shared" si="1"/>
        <v>4</v>
      </c>
      <c r="L962" s="7">
        <f>IFERROR(__xludf.DUMMYFUNCTION("SPLIT(C962,""T""""Z"")"),44798.0)</f>
        <v>44798</v>
      </c>
      <c r="M962" s="8">
        <f>IFERROR(__xludf.DUMMYFUNCTION("""COMPUTED_VALUE"""),0.6021180555555555)</f>
        <v>0.6021180556</v>
      </c>
      <c r="N962" s="10">
        <f t="shared" si="2"/>
        <v>134.4508333</v>
      </c>
      <c r="O962" s="11">
        <f t="shared" si="3"/>
        <v>0.5576470588</v>
      </c>
    </row>
    <row r="963">
      <c r="A963" s="1" t="s">
        <v>2902</v>
      </c>
      <c r="B963" s="1" t="s">
        <v>2903</v>
      </c>
      <c r="C963" s="1" t="s">
        <v>2904</v>
      </c>
      <c r="D963" s="1">
        <v>26.0</v>
      </c>
      <c r="E963" s="1" t="s">
        <v>48</v>
      </c>
      <c r="F963" s="1">
        <v>279.0</v>
      </c>
      <c r="G963" s="1">
        <v>578.0</v>
      </c>
      <c r="H963" s="1">
        <v>573.0</v>
      </c>
      <c r="I963" s="7">
        <f>IFERROR(__xludf.DUMMYFUNCTION("SPLIT(B963,""T""""Z"")"),42755.0)</f>
        <v>42755</v>
      </c>
      <c r="J963" s="8">
        <f>IFERROR(__xludf.DUMMYFUNCTION("""COMPUTED_VALUE"""),0.22246527777777778)</f>
        <v>0.2224652778</v>
      </c>
      <c r="K963" s="9">
        <f t="shared" si="1"/>
        <v>5</v>
      </c>
      <c r="L963" s="7">
        <f>IFERROR(__xludf.DUMMYFUNCTION("SPLIT(C963,""T""""Z"")"),44798.0)</f>
        <v>44798</v>
      </c>
      <c r="M963" s="8">
        <f>IFERROR(__xludf.DUMMYFUNCTION("""COMPUTED_VALUE"""),0.23625)</f>
        <v>0.23625</v>
      </c>
      <c r="N963" s="10">
        <f t="shared" si="2"/>
        <v>125.67</v>
      </c>
      <c r="O963" s="11">
        <f t="shared" si="3"/>
        <v>0.991349481</v>
      </c>
    </row>
    <row r="964">
      <c r="A964" s="1" t="s">
        <v>2905</v>
      </c>
      <c r="B964" s="1" t="s">
        <v>2906</v>
      </c>
      <c r="C964" s="1" t="s">
        <v>2907</v>
      </c>
      <c r="D964" s="1">
        <v>0.0</v>
      </c>
      <c r="E964" s="1" t="s">
        <v>48</v>
      </c>
      <c r="F964" s="1">
        <v>118.0</v>
      </c>
      <c r="G964" s="1">
        <v>50.0</v>
      </c>
      <c r="H964" s="1">
        <v>14.0</v>
      </c>
      <c r="I964" s="7">
        <f>IFERROR(__xludf.DUMMYFUNCTION("SPLIT(B964,""T""""Z"")"),43650.0)</f>
        <v>43650</v>
      </c>
      <c r="J964" s="8">
        <f>IFERROR(__xludf.DUMMYFUNCTION("""COMPUTED_VALUE"""),0.46402777777777776)</f>
        <v>0.4640277778</v>
      </c>
      <c r="K964" s="9">
        <f t="shared" si="1"/>
        <v>3</v>
      </c>
      <c r="L964" s="7">
        <f>IFERROR(__xludf.DUMMYFUNCTION("SPLIT(C964,""T""""Z"")"),44798.0)</f>
        <v>44798</v>
      </c>
      <c r="M964" s="8">
        <f>IFERROR(__xludf.DUMMYFUNCTION("""COMPUTED_VALUE"""),0.5827662037037037)</f>
        <v>0.5827662037</v>
      </c>
      <c r="N964" s="10">
        <f t="shared" si="2"/>
        <v>133.9863889</v>
      </c>
      <c r="O964" s="11">
        <f t="shared" si="3"/>
        <v>0.28</v>
      </c>
    </row>
    <row r="965">
      <c r="A965" s="1" t="s">
        <v>2908</v>
      </c>
      <c r="B965" s="1" t="s">
        <v>2909</v>
      </c>
      <c r="C965" s="1" t="s">
        <v>2910</v>
      </c>
      <c r="D965" s="1">
        <v>3.0</v>
      </c>
      <c r="E965" s="1" t="s">
        <v>347</v>
      </c>
      <c r="F965" s="1">
        <v>67.0</v>
      </c>
      <c r="G965" s="1">
        <v>393.0</v>
      </c>
      <c r="H965" s="1">
        <v>181.0</v>
      </c>
      <c r="I965" s="7">
        <f>IFERROR(__xludf.DUMMYFUNCTION("SPLIT(B965,""T""""Z"")"),40952.0)</f>
        <v>40952</v>
      </c>
      <c r="J965" s="8">
        <f>IFERROR(__xludf.DUMMYFUNCTION("""COMPUTED_VALUE"""),0.3597222222222222)</f>
        <v>0.3597222222</v>
      </c>
      <c r="K965" s="9">
        <f t="shared" si="1"/>
        <v>10</v>
      </c>
      <c r="L965" s="7">
        <f>IFERROR(__xludf.DUMMYFUNCTION("SPLIT(C965,""T""""Z"")"),44798.0)</f>
        <v>44798</v>
      </c>
      <c r="M965" s="8">
        <f>IFERROR(__xludf.DUMMYFUNCTION("""COMPUTED_VALUE"""),0.4553587962962963)</f>
        <v>0.4553587963</v>
      </c>
      <c r="N965" s="10">
        <f t="shared" si="2"/>
        <v>130.9286111</v>
      </c>
      <c r="O965" s="11">
        <f t="shared" si="3"/>
        <v>0.4605597964</v>
      </c>
    </row>
    <row r="966">
      <c r="A966" s="1" t="s">
        <v>2911</v>
      </c>
      <c r="B966" s="1" t="s">
        <v>2912</v>
      </c>
      <c r="C966" s="1" t="s">
        <v>2913</v>
      </c>
      <c r="D966" s="1">
        <v>56.0</v>
      </c>
      <c r="E966" s="1" t="s">
        <v>52</v>
      </c>
      <c r="F966" s="1">
        <v>22199.0</v>
      </c>
      <c r="G966" s="1">
        <v>15204.0</v>
      </c>
      <c r="H966" s="1">
        <v>13064.0</v>
      </c>
      <c r="I966" s="7">
        <f>IFERROR(__xludf.DUMMYFUNCTION("SPLIT(B966,""T""""Z"")"),42597.0)</f>
        <v>42597</v>
      </c>
      <c r="J966" s="8">
        <f>IFERROR(__xludf.DUMMYFUNCTION("""COMPUTED_VALUE"""),0.29106481481481483)</f>
        <v>0.2910648148</v>
      </c>
      <c r="K966" s="9">
        <f t="shared" si="1"/>
        <v>6</v>
      </c>
      <c r="L966" s="7">
        <f>IFERROR(__xludf.DUMMYFUNCTION("SPLIT(C966,""T""""Z"")"),44798.0)</f>
        <v>44798</v>
      </c>
      <c r="M966" s="8">
        <f>IFERROR(__xludf.DUMMYFUNCTION("""COMPUTED_VALUE"""),0.5037268518518518)</f>
        <v>0.5037268519</v>
      </c>
      <c r="N966" s="10">
        <f t="shared" si="2"/>
        <v>132.0894444</v>
      </c>
      <c r="O966" s="11">
        <f t="shared" si="3"/>
        <v>0.8592475664</v>
      </c>
    </row>
    <row r="967">
      <c r="A967" s="1" t="s">
        <v>2914</v>
      </c>
      <c r="B967" s="1" t="s">
        <v>2915</v>
      </c>
      <c r="C967" s="1" t="s">
        <v>2916</v>
      </c>
      <c r="D967" s="1">
        <v>12.0</v>
      </c>
      <c r="E967" s="1" t="s">
        <v>686</v>
      </c>
      <c r="F967" s="1">
        <v>125.0</v>
      </c>
      <c r="G967" s="1">
        <v>546.0</v>
      </c>
      <c r="H967" s="1">
        <v>467.0</v>
      </c>
      <c r="I967" s="7">
        <f>IFERROR(__xludf.DUMMYFUNCTION("SPLIT(B967,""T""""Z"")"),41795.0)</f>
        <v>41795</v>
      </c>
      <c r="J967" s="8">
        <f>IFERROR(__xludf.DUMMYFUNCTION("""COMPUTED_VALUE"""),0.8844907407407407)</f>
        <v>0.8844907407</v>
      </c>
      <c r="K967" s="9">
        <f t="shared" si="1"/>
        <v>8</v>
      </c>
      <c r="L967" s="7">
        <f>IFERROR(__xludf.DUMMYFUNCTION("SPLIT(C967,""T""""Z"")"),44798.0)</f>
        <v>44798</v>
      </c>
      <c r="M967" s="8">
        <f>IFERROR(__xludf.DUMMYFUNCTION("""COMPUTED_VALUE"""),0.4977314814814815)</f>
        <v>0.4977314815</v>
      </c>
      <c r="N967" s="10">
        <f t="shared" si="2"/>
        <v>131.9455556</v>
      </c>
      <c r="O967" s="11">
        <f t="shared" si="3"/>
        <v>0.8553113553</v>
      </c>
    </row>
    <row r="968">
      <c r="A968" s="1" t="s">
        <v>2917</v>
      </c>
      <c r="B968" s="1" t="s">
        <v>2918</v>
      </c>
      <c r="C968" s="1" t="s">
        <v>2919</v>
      </c>
      <c r="D968" s="1">
        <v>0.0</v>
      </c>
      <c r="E968" s="1" t="s">
        <v>18</v>
      </c>
      <c r="F968" s="1">
        <v>361.0</v>
      </c>
      <c r="G968" s="1">
        <v>2421.0</v>
      </c>
      <c r="H968" s="1">
        <v>2014.0</v>
      </c>
      <c r="I968" s="7">
        <f>IFERROR(__xludf.DUMMYFUNCTION("SPLIT(B968,""T""""Z"")"),42223.0)</f>
        <v>42223</v>
      </c>
      <c r="J968" s="8">
        <f>IFERROR(__xludf.DUMMYFUNCTION("""COMPUTED_VALUE"""),0.2850347222222222)</f>
        <v>0.2850347222</v>
      </c>
      <c r="K968" s="9">
        <f t="shared" si="1"/>
        <v>7</v>
      </c>
      <c r="L968" s="7">
        <f>IFERROR(__xludf.DUMMYFUNCTION("SPLIT(C968,""T""""Z"")"),44798.0)</f>
        <v>44798</v>
      </c>
      <c r="M968" s="8">
        <f>IFERROR(__xludf.DUMMYFUNCTION("""COMPUTED_VALUE"""),0.557974537037037)</f>
        <v>0.557974537</v>
      </c>
      <c r="N968" s="10">
        <f t="shared" si="2"/>
        <v>133.3913889</v>
      </c>
      <c r="O968" s="11">
        <f t="shared" si="3"/>
        <v>0.8318876497</v>
      </c>
    </row>
    <row r="969">
      <c r="A969" s="1" t="s">
        <v>2920</v>
      </c>
      <c r="B969" s="1" t="s">
        <v>2921</v>
      </c>
      <c r="C969" s="1" t="s">
        <v>2922</v>
      </c>
      <c r="D969" s="1">
        <v>35.0</v>
      </c>
      <c r="E969" s="1" t="s">
        <v>18</v>
      </c>
      <c r="F969" s="1">
        <v>126.0</v>
      </c>
      <c r="G969" s="1">
        <v>370.0</v>
      </c>
      <c r="H969" s="1">
        <v>356.0</v>
      </c>
      <c r="I969" s="7">
        <f>IFERROR(__xludf.DUMMYFUNCTION("SPLIT(B969,""T""""Z"")"),42186.0)</f>
        <v>42186</v>
      </c>
      <c r="J969" s="8">
        <f>IFERROR(__xludf.DUMMYFUNCTION("""COMPUTED_VALUE"""),0.4630208333333333)</f>
        <v>0.4630208333</v>
      </c>
      <c r="K969" s="9">
        <f t="shared" si="1"/>
        <v>7</v>
      </c>
      <c r="L969" s="7">
        <f>IFERROR(__xludf.DUMMYFUNCTION("SPLIT(C969,""T""""Z"")"),44798.0)</f>
        <v>44798</v>
      </c>
      <c r="M969" s="8">
        <f>IFERROR(__xludf.DUMMYFUNCTION("""COMPUTED_VALUE"""),0.3958333333333333)</f>
        <v>0.3958333333</v>
      </c>
      <c r="N969" s="10">
        <f t="shared" si="2"/>
        <v>129.5</v>
      </c>
      <c r="O969" s="11">
        <f t="shared" si="3"/>
        <v>0.9621621622</v>
      </c>
    </row>
    <row r="970">
      <c r="A970" s="1" t="s">
        <v>2923</v>
      </c>
      <c r="B970" s="1" t="s">
        <v>2924</v>
      </c>
      <c r="C970" s="1" t="s">
        <v>2925</v>
      </c>
      <c r="D970" s="1">
        <v>0.0</v>
      </c>
      <c r="E970" s="1" t="s">
        <v>48</v>
      </c>
      <c r="F970" s="1">
        <v>122.0</v>
      </c>
      <c r="G970" s="1">
        <v>222.0</v>
      </c>
      <c r="H970" s="1">
        <v>111.0</v>
      </c>
      <c r="I970" s="7">
        <f>IFERROR(__xludf.DUMMYFUNCTION("SPLIT(B970,""T""""Z"")"),42781.0)</f>
        <v>42781</v>
      </c>
      <c r="J970" s="8">
        <f>IFERROR(__xludf.DUMMYFUNCTION("""COMPUTED_VALUE"""),0.3768518518518518)</f>
        <v>0.3768518519</v>
      </c>
      <c r="K970" s="9">
        <f t="shared" si="1"/>
        <v>5</v>
      </c>
      <c r="L970" s="7">
        <f>IFERROR(__xludf.DUMMYFUNCTION("SPLIT(C970,""T""""Z"")"),44798.0)</f>
        <v>44798</v>
      </c>
      <c r="M970" s="8">
        <f>IFERROR(__xludf.DUMMYFUNCTION("""COMPUTED_VALUE"""),0.6072337962962963)</f>
        <v>0.6072337963</v>
      </c>
      <c r="N970" s="10">
        <f t="shared" si="2"/>
        <v>134.5736111</v>
      </c>
      <c r="O970" s="11">
        <f t="shared" si="3"/>
        <v>0.5</v>
      </c>
    </row>
    <row r="971">
      <c r="A971" s="1" t="s">
        <v>2926</v>
      </c>
      <c r="B971" s="1" t="s">
        <v>2927</v>
      </c>
      <c r="C971" s="1" t="s">
        <v>2928</v>
      </c>
      <c r="D971" s="1">
        <v>0.0</v>
      </c>
      <c r="E971" s="13" t="s">
        <v>22</v>
      </c>
      <c r="F971" s="1">
        <v>8.0</v>
      </c>
      <c r="G971" s="1">
        <v>11.0</v>
      </c>
      <c r="H971" s="1">
        <v>6.0</v>
      </c>
      <c r="I971" s="7">
        <f>IFERROR(__xludf.DUMMYFUNCTION("SPLIT(B971,""T""""Z"")"),43712.0)</f>
        <v>43712</v>
      </c>
      <c r="J971" s="8">
        <f>IFERROR(__xludf.DUMMYFUNCTION("""COMPUTED_VALUE"""),0.8659837962962963)</f>
        <v>0.8659837963</v>
      </c>
      <c r="K971" s="9">
        <f t="shared" si="1"/>
        <v>2</v>
      </c>
      <c r="L971" s="7">
        <f>IFERROR(__xludf.DUMMYFUNCTION("SPLIT(C971,""T""""Z"")"),44798.0)</f>
        <v>44798</v>
      </c>
      <c r="M971" s="8">
        <f>IFERROR(__xludf.DUMMYFUNCTION("""COMPUTED_VALUE"""),0.36725694444444446)</f>
        <v>0.3672569444</v>
      </c>
      <c r="N971" s="12">
        <f t="shared" si="2"/>
        <v>128.8141667</v>
      </c>
      <c r="O971" s="11">
        <f t="shared" si="3"/>
        <v>0.5454545455</v>
      </c>
    </row>
    <row r="972">
      <c r="A972" s="1" t="s">
        <v>2929</v>
      </c>
      <c r="B972" s="1" t="s">
        <v>2930</v>
      </c>
      <c r="C972" s="1" t="s">
        <v>2931</v>
      </c>
      <c r="D972" s="1">
        <v>6.0</v>
      </c>
      <c r="E972" s="1" t="s">
        <v>206</v>
      </c>
      <c r="F972" s="1">
        <v>25.0</v>
      </c>
      <c r="G972" s="1">
        <v>200.0</v>
      </c>
      <c r="H972" s="1">
        <v>126.0</v>
      </c>
      <c r="I972" s="7">
        <f>IFERROR(__xludf.DUMMYFUNCTION("SPLIT(B972,""T""""Z"")"),40663.0)</f>
        <v>40663</v>
      </c>
      <c r="J972" s="8">
        <f>IFERROR(__xludf.DUMMYFUNCTION("""COMPUTED_VALUE"""),0.8363888888888888)</f>
        <v>0.8363888889</v>
      </c>
      <c r="K972" s="9">
        <f t="shared" si="1"/>
        <v>11</v>
      </c>
      <c r="L972" s="7">
        <f>IFERROR(__xludf.DUMMYFUNCTION("SPLIT(C972,""T""""Z"")"),44797.0)</f>
        <v>44797</v>
      </c>
      <c r="M972" s="8">
        <f>IFERROR(__xludf.DUMMYFUNCTION("""COMPUTED_VALUE"""),0.8567361111111111)</f>
        <v>0.8567361111</v>
      </c>
      <c r="N972" s="10">
        <f t="shared" si="2"/>
        <v>164.5616667</v>
      </c>
      <c r="O972" s="11">
        <f t="shared" si="3"/>
        <v>0.63</v>
      </c>
    </row>
    <row r="973">
      <c r="A973" s="1" t="s">
        <v>2932</v>
      </c>
      <c r="B973" s="1" t="s">
        <v>2933</v>
      </c>
      <c r="C973" s="1" t="s">
        <v>2934</v>
      </c>
      <c r="D973" s="1">
        <v>53.0</v>
      </c>
      <c r="E973" s="1" t="s">
        <v>124</v>
      </c>
      <c r="F973" s="1">
        <v>1050.0</v>
      </c>
      <c r="G973" s="1">
        <v>868.0</v>
      </c>
      <c r="H973" s="1">
        <v>796.0</v>
      </c>
      <c r="I973" s="7">
        <f>IFERROR(__xludf.DUMMYFUNCTION("SPLIT(B973,""T""""Z"")"),43475.0)</f>
        <v>43475</v>
      </c>
      <c r="J973" s="8">
        <f>IFERROR(__xludf.DUMMYFUNCTION("""COMPUTED_VALUE"""),0.4461921296296296)</f>
        <v>0.4461921296</v>
      </c>
      <c r="K973" s="9">
        <f t="shared" si="1"/>
        <v>3</v>
      </c>
      <c r="L973" s="7">
        <f>IFERROR(__xludf.DUMMYFUNCTION("SPLIT(C973,""T""""Z"")"),44798.0)</f>
        <v>44798</v>
      </c>
      <c r="M973" s="8">
        <f>IFERROR(__xludf.DUMMYFUNCTION("""COMPUTED_VALUE"""),0.5426388888888889)</f>
        <v>0.5426388889</v>
      </c>
      <c r="N973" s="10">
        <f t="shared" si="2"/>
        <v>133.0233333</v>
      </c>
      <c r="O973" s="11">
        <f t="shared" si="3"/>
        <v>0.9170506912</v>
      </c>
    </row>
    <row r="974">
      <c r="A974" s="1" t="s">
        <v>2935</v>
      </c>
      <c r="B974" s="1" t="s">
        <v>2936</v>
      </c>
      <c r="C974" s="1" t="s">
        <v>2937</v>
      </c>
      <c r="D974" s="1">
        <v>0.0</v>
      </c>
      <c r="E974" s="13" t="s">
        <v>22</v>
      </c>
      <c r="F974" s="1">
        <v>82.0</v>
      </c>
      <c r="G974" s="1">
        <v>24.0</v>
      </c>
      <c r="H974" s="1">
        <v>23.0</v>
      </c>
      <c r="I974" s="7">
        <f>IFERROR(__xludf.DUMMYFUNCTION("SPLIT(B974,""T""""Z"")"),42621.0)</f>
        <v>42621</v>
      </c>
      <c r="J974" s="8">
        <f>IFERROR(__xludf.DUMMYFUNCTION("""COMPUTED_VALUE"""),0.38457175925925924)</f>
        <v>0.3845717593</v>
      </c>
      <c r="K974" s="9">
        <f t="shared" si="1"/>
        <v>5</v>
      </c>
      <c r="L974" s="7">
        <f>IFERROR(__xludf.DUMMYFUNCTION("SPLIT(C974,""T""""Z"")"),44798.0)</f>
        <v>44798</v>
      </c>
      <c r="M974" s="8">
        <f>IFERROR(__xludf.DUMMYFUNCTION("""COMPUTED_VALUE"""),0.5468981481481482)</f>
        <v>0.5468981481</v>
      </c>
      <c r="N974" s="12">
        <f t="shared" si="2"/>
        <v>133.1255556</v>
      </c>
      <c r="O974" s="11">
        <f t="shared" si="3"/>
        <v>0.9583333333</v>
      </c>
    </row>
    <row r="975">
      <c r="A975" s="1" t="s">
        <v>2938</v>
      </c>
      <c r="B975" s="1" t="s">
        <v>2939</v>
      </c>
      <c r="C975" s="1" t="s">
        <v>2940</v>
      </c>
      <c r="D975" s="1">
        <v>85.0</v>
      </c>
      <c r="E975" s="1" t="s">
        <v>18</v>
      </c>
      <c r="F975" s="1">
        <v>2357.0</v>
      </c>
      <c r="G975" s="1">
        <v>3092.0</v>
      </c>
      <c r="H975" s="1">
        <v>2941.0</v>
      </c>
      <c r="I975" s="7">
        <f>IFERROR(__xludf.DUMMYFUNCTION("SPLIT(B975,""T""""Z"")"),42415.0)</f>
        <v>42415</v>
      </c>
      <c r="J975" s="8">
        <f>IFERROR(__xludf.DUMMYFUNCTION("""COMPUTED_VALUE"""),0.6979398148148148)</f>
        <v>0.6979398148</v>
      </c>
      <c r="K975" s="9">
        <f t="shared" si="1"/>
        <v>6</v>
      </c>
      <c r="L975" s="7">
        <f>IFERROR(__xludf.DUMMYFUNCTION("SPLIT(C975,""T""""Z"")"),44798.0)</f>
        <v>44798</v>
      </c>
      <c r="M975" s="8">
        <f>IFERROR(__xludf.DUMMYFUNCTION("""COMPUTED_VALUE"""),0.5935069444444444)</f>
        <v>0.5935069444</v>
      </c>
      <c r="N975" s="10">
        <f t="shared" si="2"/>
        <v>134.2441667</v>
      </c>
      <c r="O975" s="11">
        <f t="shared" si="3"/>
        <v>0.951164295</v>
      </c>
    </row>
    <row r="976">
      <c r="A976" s="1" t="s">
        <v>2941</v>
      </c>
      <c r="B976" s="1" t="s">
        <v>2942</v>
      </c>
      <c r="C976" s="1" t="s">
        <v>2943</v>
      </c>
      <c r="D976" s="1">
        <v>94.0</v>
      </c>
      <c r="E976" s="1" t="s">
        <v>48</v>
      </c>
      <c r="F976" s="1">
        <v>478.0</v>
      </c>
      <c r="G976" s="1">
        <v>1386.0</v>
      </c>
      <c r="H976" s="1">
        <v>1381.0</v>
      </c>
      <c r="I976" s="7">
        <f>IFERROR(__xludf.DUMMYFUNCTION("SPLIT(B976,""T""""Z"")"),40856.0)</f>
        <v>40856</v>
      </c>
      <c r="J976" s="8">
        <f>IFERROR(__xludf.DUMMYFUNCTION("""COMPUTED_VALUE"""),0.9394097222222222)</f>
        <v>0.9394097222</v>
      </c>
      <c r="K976" s="9">
        <f t="shared" si="1"/>
        <v>10</v>
      </c>
      <c r="L976" s="7">
        <f>IFERROR(__xludf.DUMMYFUNCTION("SPLIT(C976,""T""""Z"")"),44798.0)</f>
        <v>44798</v>
      </c>
      <c r="M976" s="8">
        <f>IFERROR(__xludf.DUMMYFUNCTION("""COMPUTED_VALUE"""),0.44702546296296297)</f>
        <v>0.447025463</v>
      </c>
      <c r="N976" s="10">
        <f t="shared" si="2"/>
        <v>130.7286111</v>
      </c>
      <c r="O976" s="11">
        <f t="shared" si="3"/>
        <v>0.9963924964</v>
      </c>
    </row>
    <row r="977">
      <c r="A977" s="1" t="s">
        <v>2944</v>
      </c>
      <c r="B977" s="1" t="s">
        <v>2945</v>
      </c>
      <c r="C977" s="1" t="s">
        <v>2946</v>
      </c>
      <c r="D977" s="1">
        <v>0.0</v>
      </c>
      <c r="E977" s="13" t="s">
        <v>22</v>
      </c>
      <c r="F977" s="1">
        <v>18.0</v>
      </c>
      <c r="G977" s="1">
        <v>41.0</v>
      </c>
      <c r="H977" s="1">
        <v>41.0</v>
      </c>
      <c r="I977" s="7">
        <f>IFERROR(__xludf.DUMMYFUNCTION("SPLIT(B977,""T""""Z"")"),42670.0)</f>
        <v>42670</v>
      </c>
      <c r="J977" s="8">
        <f>IFERROR(__xludf.DUMMYFUNCTION("""COMPUTED_VALUE"""),0.5003009259259259)</f>
        <v>0.5003009259</v>
      </c>
      <c r="K977" s="9">
        <f t="shared" si="1"/>
        <v>5</v>
      </c>
      <c r="L977" s="7">
        <f>IFERROR(__xludf.DUMMYFUNCTION("SPLIT(C977,""T""""Z"")"),44797.0)</f>
        <v>44797</v>
      </c>
      <c r="M977" s="8">
        <f>IFERROR(__xludf.DUMMYFUNCTION("""COMPUTED_VALUE"""),0.6567824074074075)</f>
        <v>0.6567824074</v>
      </c>
      <c r="N977" s="12">
        <f t="shared" si="2"/>
        <v>159.7627778</v>
      </c>
      <c r="O977" s="11">
        <f t="shared" si="3"/>
        <v>1</v>
      </c>
    </row>
    <row r="978">
      <c r="A978" s="1" t="s">
        <v>2947</v>
      </c>
      <c r="B978" s="1" t="s">
        <v>2948</v>
      </c>
      <c r="C978" s="1" t="s">
        <v>2949</v>
      </c>
      <c r="D978" s="1">
        <v>0.0</v>
      </c>
      <c r="E978" s="1" t="s">
        <v>95</v>
      </c>
      <c r="F978" s="1">
        <v>71.0</v>
      </c>
      <c r="G978" s="1">
        <v>609.0</v>
      </c>
      <c r="H978" s="1">
        <v>589.0</v>
      </c>
      <c r="I978" s="7">
        <f>IFERROR(__xludf.DUMMYFUNCTION("SPLIT(B978,""T""""Z"")"),43448.0)</f>
        <v>43448</v>
      </c>
      <c r="J978" s="8">
        <f>IFERROR(__xludf.DUMMYFUNCTION("""COMPUTED_VALUE"""),0.3711111111111111)</f>
        <v>0.3711111111</v>
      </c>
      <c r="K978" s="9">
        <f t="shared" si="1"/>
        <v>3</v>
      </c>
      <c r="L978" s="7">
        <f>IFERROR(__xludf.DUMMYFUNCTION("SPLIT(C978,""T""""Z"")"),44798.0)</f>
        <v>44798</v>
      </c>
      <c r="M978" s="8">
        <f>IFERROR(__xludf.DUMMYFUNCTION("""COMPUTED_VALUE"""),0.36527777777777776)</f>
        <v>0.3652777778</v>
      </c>
      <c r="N978" s="10">
        <f t="shared" si="2"/>
        <v>128.7666667</v>
      </c>
      <c r="O978" s="11">
        <f t="shared" si="3"/>
        <v>0.9671592775</v>
      </c>
    </row>
    <row r="979">
      <c r="A979" s="1" t="s">
        <v>2950</v>
      </c>
      <c r="B979" s="1" t="s">
        <v>2951</v>
      </c>
      <c r="C979" s="1" t="s">
        <v>2952</v>
      </c>
      <c r="D979" s="1">
        <v>0.0</v>
      </c>
      <c r="E979" s="1" t="s">
        <v>228</v>
      </c>
      <c r="F979" s="1">
        <v>793.0</v>
      </c>
      <c r="G979" s="1">
        <v>3140.0</v>
      </c>
      <c r="H979" s="1">
        <v>2984.0</v>
      </c>
      <c r="I979" s="7">
        <f>IFERROR(__xludf.DUMMYFUNCTION("SPLIT(B979,""T""""Z"")"),40171.0)</f>
        <v>40171</v>
      </c>
      <c r="J979" s="8">
        <f>IFERROR(__xludf.DUMMYFUNCTION("""COMPUTED_VALUE"""),0.5530439814814815)</f>
        <v>0.5530439815</v>
      </c>
      <c r="K979" s="9">
        <f t="shared" si="1"/>
        <v>12</v>
      </c>
      <c r="L979" s="7">
        <f>IFERROR(__xludf.DUMMYFUNCTION("SPLIT(C979,""T""""Z"")"),44798.0)</f>
        <v>44798</v>
      </c>
      <c r="M979" s="8">
        <f>IFERROR(__xludf.DUMMYFUNCTION("""COMPUTED_VALUE"""),0.3043634259259259)</f>
        <v>0.3043634259</v>
      </c>
      <c r="N979" s="10">
        <f t="shared" si="2"/>
        <v>127.3047222</v>
      </c>
      <c r="O979" s="11">
        <f t="shared" si="3"/>
        <v>0.9503184713</v>
      </c>
    </row>
    <row r="980">
      <c r="A980" s="1" t="s">
        <v>2953</v>
      </c>
      <c r="B980" s="1" t="s">
        <v>2954</v>
      </c>
      <c r="C980" s="1" t="s">
        <v>2955</v>
      </c>
      <c r="D980" s="1">
        <v>19.0</v>
      </c>
      <c r="E980" s="1" t="s">
        <v>52</v>
      </c>
      <c r="F980" s="1">
        <v>1532.0</v>
      </c>
      <c r="G980" s="1">
        <v>2013.0</v>
      </c>
      <c r="H980" s="1">
        <v>1872.0</v>
      </c>
      <c r="I980" s="7">
        <f>IFERROR(__xludf.DUMMYFUNCTION("SPLIT(B980,""T""""Z"")"),41778.0)</f>
        <v>41778</v>
      </c>
      <c r="J980" s="8">
        <f>IFERROR(__xludf.DUMMYFUNCTION("""COMPUTED_VALUE"""),0.7729282407407407)</f>
        <v>0.7729282407</v>
      </c>
      <c r="K980" s="9">
        <f t="shared" si="1"/>
        <v>8</v>
      </c>
      <c r="L980" s="7">
        <f>IFERROR(__xludf.DUMMYFUNCTION("SPLIT(C980,""T""""Z"")"),44798.0)</f>
        <v>44798</v>
      </c>
      <c r="M980" s="8">
        <f>IFERROR(__xludf.DUMMYFUNCTION("""COMPUTED_VALUE"""),0.5697222222222222)</f>
        <v>0.5697222222</v>
      </c>
      <c r="N980" s="10">
        <f t="shared" si="2"/>
        <v>133.6733333</v>
      </c>
      <c r="O980" s="11">
        <f t="shared" si="3"/>
        <v>0.9299552906</v>
      </c>
    </row>
    <row r="981">
      <c r="A981" s="1" t="s">
        <v>2956</v>
      </c>
      <c r="B981" s="1" t="s">
        <v>2957</v>
      </c>
      <c r="C981" s="1" t="s">
        <v>2958</v>
      </c>
      <c r="D981" s="1">
        <v>56.0</v>
      </c>
      <c r="E981" s="1" t="s">
        <v>228</v>
      </c>
      <c r="F981" s="1">
        <v>403.0</v>
      </c>
      <c r="G981" s="1">
        <v>1906.0</v>
      </c>
      <c r="H981" s="1">
        <v>1879.0</v>
      </c>
      <c r="I981" s="7">
        <f>IFERROR(__xludf.DUMMYFUNCTION("SPLIT(B981,""T""""Z"")"),40778.0)</f>
        <v>40778</v>
      </c>
      <c r="J981" s="8">
        <f>IFERROR(__xludf.DUMMYFUNCTION("""COMPUTED_VALUE"""),0.33144675925925926)</f>
        <v>0.3314467593</v>
      </c>
      <c r="K981" s="9">
        <f t="shared" si="1"/>
        <v>11</v>
      </c>
      <c r="L981" s="7">
        <f>IFERROR(__xludf.DUMMYFUNCTION("SPLIT(C981,""T""""Z"")"),44798.0)</f>
        <v>44798</v>
      </c>
      <c r="M981" s="8">
        <f>IFERROR(__xludf.DUMMYFUNCTION("""COMPUTED_VALUE"""),0.4157175925925926)</f>
        <v>0.4157175926</v>
      </c>
      <c r="N981" s="10">
        <f t="shared" si="2"/>
        <v>129.9772222</v>
      </c>
      <c r="O981" s="11">
        <f t="shared" si="3"/>
        <v>0.9858342078</v>
      </c>
    </row>
    <row r="982">
      <c r="A982" s="1" t="s">
        <v>2959</v>
      </c>
      <c r="B982" s="1" t="s">
        <v>2960</v>
      </c>
      <c r="C982" s="1" t="s">
        <v>2961</v>
      </c>
      <c r="D982" s="1">
        <v>0.0</v>
      </c>
      <c r="E982" s="1" t="s">
        <v>88</v>
      </c>
      <c r="F982" s="1">
        <v>15.0</v>
      </c>
      <c r="G982" s="1">
        <v>0.0</v>
      </c>
      <c r="H982" s="1">
        <v>0.0</v>
      </c>
      <c r="I982" s="7">
        <f>IFERROR(__xludf.DUMMYFUNCTION("SPLIT(B982,""T""""Z"")"),43686.0)</f>
        <v>43686</v>
      </c>
      <c r="J982" s="8">
        <f>IFERROR(__xludf.DUMMYFUNCTION("""COMPUTED_VALUE"""),0.475)</f>
        <v>0.475</v>
      </c>
      <c r="K982" s="9">
        <f t="shared" si="1"/>
        <v>3</v>
      </c>
      <c r="L982" s="7">
        <f>IFERROR(__xludf.DUMMYFUNCTION("SPLIT(C982,""T""""Z"")"),44798.0)</f>
        <v>44798</v>
      </c>
      <c r="M982" s="8">
        <f>IFERROR(__xludf.DUMMYFUNCTION("""COMPUTED_VALUE"""),0.27125)</f>
        <v>0.27125</v>
      </c>
      <c r="N982" s="10">
        <f t="shared" si="2"/>
        <v>126.51</v>
      </c>
      <c r="O982" s="11">
        <f t="shared" si="3"/>
        <v>0</v>
      </c>
    </row>
    <row r="983">
      <c r="A983" s="1" t="s">
        <v>2962</v>
      </c>
      <c r="B983" s="1" t="s">
        <v>2963</v>
      </c>
      <c r="C983" s="1" t="s">
        <v>2964</v>
      </c>
      <c r="D983" s="1">
        <v>0.0</v>
      </c>
      <c r="E983" s="1" t="s">
        <v>347</v>
      </c>
      <c r="F983" s="1">
        <v>1828.0</v>
      </c>
      <c r="G983" s="1">
        <v>729.0</v>
      </c>
      <c r="H983" s="1">
        <v>649.0</v>
      </c>
      <c r="I983" s="7">
        <f>IFERROR(__xludf.DUMMYFUNCTION("SPLIT(B983,""T""""Z"")"),42889.0)</f>
        <v>42889</v>
      </c>
      <c r="J983" s="8">
        <f>IFERROR(__xludf.DUMMYFUNCTION("""COMPUTED_VALUE"""),0.6027430555555555)</f>
        <v>0.6027430556</v>
      </c>
      <c r="K983" s="9">
        <f t="shared" si="1"/>
        <v>5</v>
      </c>
      <c r="L983" s="7">
        <f>IFERROR(__xludf.DUMMYFUNCTION("SPLIT(C983,""T""""Z"")"),44798.0)</f>
        <v>44798</v>
      </c>
      <c r="M983" s="8">
        <f>IFERROR(__xludf.DUMMYFUNCTION("""COMPUTED_VALUE"""),0.6117476851851852)</f>
        <v>0.6117476852</v>
      </c>
      <c r="N983" s="10">
        <f t="shared" si="2"/>
        <v>134.6819444</v>
      </c>
      <c r="O983" s="11">
        <f t="shared" si="3"/>
        <v>0.890260631</v>
      </c>
    </row>
    <row r="984">
      <c r="A984" s="1" t="s">
        <v>2965</v>
      </c>
      <c r="B984" s="1" t="s">
        <v>2966</v>
      </c>
      <c r="C984" s="1" t="s">
        <v>2967</v>
      </c>
      <c r="D984" s="1">
        <v>25.0</v>
      </c>
      <c r="E984" s="1" t="s">
        <v>52</v>
      </c>
      <c r="F984" s="1">
        <v>762.0</v>
      </c>
      <c r="G984" s="1">
        <v>1873.0</v>
      </c>
      <c r="H984" s="1">
        <v>1558.0</v>
      </c>
      <c r="I984" s="7">
        <f>IFERROR(__xludf.DUMMYFUNCTION("SPLIT(B984,""T""""Z"")"),42865.0)</f>
        <v>42865</v>
      </c>
      <c r="J984" s="8">
        <f>IFERROR(__xludf.DUMMYFUNCTION("""COMPUTED_VALUE"""),0.8228125)</f>
        <v>0.8228125</v>
      </c>
      <c r="K984" s="9">
        <f t="shared" si="1"/>
        <v>5</v>
      </c>
      <c r="L984" s="7">
        <f>IFERROR(__xludf.DUMMYFUNCTION("SPLIT(C984,""T""""Z"")"),44798.0)</f>
        <v>44798</v>
      </c>
      <c r="M984" s="8">
        <f>IFERROR(__xludf.DUMMYFUNCTION("""COMPUTED_VALUE"""),0.5448032407407407)</f>
        <v>0.5448032407</v>
      </c>
      <c r="N984" s="10">
        <f t="shared" si="2"/>
        <v>133.0752778</v>
      </c>
      <c r="O984" s="11">
        <f t="shared" si="3"/>
        <v>0.8318206086</v>
      </c>
    </row>
    <row r="985">
      <c r="A985" s="1" t="s">
        <v>2968</v>
      </c>
      <c r="B985" s="1" t="s">
        <v>2969</v>
      </c>
      <c r="C985" s="1" t="s">
        <v>2970</v>
      </c>
      <c r="D985" s="1">
        <v>0.0</v>
      </c>
      <c r="E985" s="1" t="s">
        <v>347</v>
      </c>
      <c r="F985" s="1">
        <v>35.0</v>
      </c>
      <c r="G985" s="1">
        <v>776.0</v>
      </c>
      <c r="H985" s="1">
        <v>533.0</v>
      </c>
      <c r="I985" s="7">
        <f>IFERROR(__xludf.DUMMYFUNCTION("SPLIT(B985,""T""""Z"")"),40986.0)</f>
        <v>40986</v>
      </c>
      <c r="J985" s="8">
        <f>IFERROR(__xludf.DUMMYFUNCTION("""COMPUTED_VALUE"""),0.6538773148148148)</f>
        <v>0.6538773148</v>
      </c>
      <c r="K985" s="9">
        <f t="shared" si="1"/>
        <v>10</v>
      </c>
      <c r="L985" s="7">
        <f>IFERROR(__xludf.DUMMYFUNCTION("SPLIT(C985,""T""""Z"")"),44796.0)</f>
        <v>44796</v>
      </c>
      <c r="M985" s="8">
        <f>IFERROR(__xludf.DUMMYFUNCTION("""COMPUTED_VALUE"""),0.7747106481481482)</f>
        <v>0.7747106481</v>
      </c>
      <c r="N985" s="10">
        <f t="shared" si="2"/>
        <v>186.5930556</v>
      </c>
      <c r="O985" s="11">
        <f t="shared" si="3"/>
        <v>0.6868556701</v>
      </c>
    </row>
    <row r="986">
      <c r="A986" s="1" t="s">
        <v>2971</v>
      </c>
      <c r="B986" s="1" t="s">
        <v>2972</v>
      </c>
      <c r="C986" s="1" t="s">
        <v>2973</v>
      </c>
      <c r="D986" s="1">
        <v>0.0</v>
      </c>
      <c r="E986" s="1" t="s">
        <v>48</v>
      </c>
      <c r="F986" s="1">
        <v>595.0</v>
      </c>
      <c r="G986" s="1">
        <v>3075.0</v>
      </c>
      <c r="H986" s="1">
        <v>2097.0</v>
      </c>
      <c r="I986" s="7">
        <f>IFERROR(__xludf.DUMMYFUNCTION("SPLIT(B986,""T""""Z"")"),40076.0)</f>
        <v>40076</v>
      </c>
      <c r="J986" s="8">
        <f>IFERROR(__xludf.DUMMYFUNCTION("""COMPUTED_VALUE"""),0.2974421296296296)</f>
        <v>0.2974421296</v>
      </c>
      <c r="K986" s="9">
        <f t="shared" si="1"/>
        <v>12</v>
      </c>
      <c r="L986" s="7">
        <f>IFERROR(__xludf.DUMMYFUNCTION("SPLIT(C986,""T""""Z"")"),44798.0)</f>
        <v>44798</v>
      </c>
      <c r="M986" s="8">
        <f>IFERROR(__xludf.DUMMYFUNCTION("""COMPUTED_VALUE"""),0.3779976851851852)</f>
        <v>0.3779976852</v>
      </c>
      <c r="N986" s="10">
        <f t="shared" si="2"/>
        <v>129.0719444</v>
      </c>
      <c r="O986" s="11">
        <f t="shared" si="3"/>
        <v>0.6819512195</v>
      </c>
    </row>
    <row r="987">
      <c r="A987" s="1" t="s">
        <v>2974</v>
      </c>
      <c r="B987" s="1" t="s">
        <v>2975</v>
      </c>
      <c r="C987" s="1" t="s">
        <v>2976</v>
      </c>
      <c r="D987" s="1">
        <v>42.0</v>
      </c>
      <c r="E987" s="1" t="s">
        <v>48</v>
      </c>
      <c r="F987" s="1">
        <v>5567.0</v>
      </c>
      <c r="G987" s="1">
        <v>5338.0</v>
      </c>
      <c r="H987" s="1">
        <v>5105.0</v>
      </c>
      <c r="I987" s="7">
        <f>IFERROR(__xludf.DUMMYFUNCTION("SPLIT(B987,""T""""Z"")"),41624.0)</f>
        <v>41624</v>
      </c>
      <c r="J987" s="8">
        <f>IFERROR(__xludf.DUMMYFUNCTION("""COMPUTED_VALUE"""),0.5355208333333333)</f>
        <v>0.5355208333</v>
      </c>
      <c r="K987" s="9">
        <f t="shared" si="1"/>
        <v>8</v>
      </c>
      <c r="L987" s="7">
        <f>IFERROR(__xludf.DUMMYFUNCTION("SPLIT(C987,""T""""Z"")"),44797.0)</f>
        <v>44797</v>
      </c>
      <c r="M987" s="8">
        <f>IFERROR(__xludf.DUMMYFUNCTION("""COMPUTED_VALUE"""),0.7348958333333333)</f>
        <v>0.7348958333</v>
      </c>
      <c r="N987" s="10">
        <f t="shared" si="2"/>
        <v>161.6375</v>
      </c>
      <c r="O987" s="11">
        <f t="shared" si="3"/>
        <v>0.9563506931</v>
      </c>
    </row>
    <row r="988">
      <c r="A988" s="1" t="s">
        <v>2977</v>
      </c>
      <c r="B988" s="1" t="s">
        <v>2978</v>
      </c>
      <c r="C988" s="1" t="s">
        <v>2979</v>
      </c>
      <c r="D988" s="1">
        <v>14.0</v>
      </c>
      <c r="E988" s="1" t="s">
        <v>347</v>
      </c>
      <c r="F988" s="1">
        <v>234.0</v>
      </c>
      <c r="G988" s="1">
        <v>585.0</v>
      </c>
      <c r="H988" s="1">
        <v>535.0</v>
      </c>
      <c r="I988" s="7">
        <f>IFERROR(__xludf.DUMMYFUNCTION("SPLIT(B988,""T""""Z"")"),41736.0)</f>
        <v>41736</v>
      </c>
      <c r="J988" s="8">
        <f>IFERROR(__xludf.DUMMYFUNCTION("""COMPUTED_VALUE"""),0.3647916666666667)</f>
        <v>0.3647916667</v>
      </c>
      <c r="K988" s="9">
        <f t="shared" si="1"/>
        <v>8</v>
      </c>
      <c r="L988" s="7">
        <f>IFERROR(__xludf.DUMMYFUNCTION("SPLIT(C988,""T""""Z"")"),44797.0)</f>
        <v>44797</v>
      </c>
      <c r="M988" s="8">
        <f>IFERROR(__xludf.DUMMYFUNCTION("""COMPUTED_VALUE"""),0.2774652777777778)</f>
        <v>0.2774652778</v>
      </c>
      <c r="N988" s="10">
        <f t="shared" si="2"/>
        <v>150.6591667</v>
      </c>
      <c r="O988" s="11">
        <f t="shared" si="3"/>
        <v>0.9145299145</v>
      </c>
    </row>
    <row r="989">
      <c r="A989" s="1" t="s">
        <v>2980</v>
      </c>
      <c r="B989" s="1" t="s">
        <v>2981</v>
      </c>
      <c r="C989" s="1" t="s">
        <v>2982</v>
      </c>
      <c r="D989" s="1">
        <v>3.0</v>
      </c>
      <c r="E989" s="1" t="s">
        <v>52</v>
      </c>
      <c r="F989" s="1">
        <v>98.0</v>
      </c>
      <c r="G989" s="1">
        <v>109.0</v>
      </c>
      <c r="H989" s="1">
        <v>105.0</v>
      </c>
      <c r="I989" s="7">
        <f>IFERROR(__xludf.DUMMYFUNCTION("SPLIT(B989,""T""""Z"")"),42601.0)</f>
        <v>42601</v>
      </c>
      <c r="J989" s="8">
        <f>IFERROR(__xludf.DUMMYFUNCTION("""COMPUTED_VALUE"""),0.6105902777777777)</f>
        <v>0.6105902778</v>
      </c>
      <c r="K989" s="9">
        <f t="shared" si="1"/>
        <v>6</v>
      </c>
      <c r="L989" s="7">
        <f>IFERROR(__xludf.DUMMYFUNCTION("SPLIT(C989,""T""""Z"")"),44798.0)</f>
        <v>44798</v>
      </c>
      <c r="M989" s="8">
        <f>IFERROR(__xludf.DUMMYFUNCTION("""COMPUTED_VALUE"""),0.6069212962962963)</f>
        <v>0.6069212963</v>
      </c>
      <c r="N989" s="10">
        <f t="shared" si="2"/>
        <v>134.5661111</v>
      </c>
      <c r="O989" s="11">
        <f t="shared" si="3"/>
        <v>0.9633027523</v>
      </c>
    </row>
    <row r="990">
      <c r="A990" s="1" t="s">
        <v>2983</v>
      </c>
      <c r="B990" s="1" t="s">
        <v>2984</v>
      </c>
      <c r="C990" s="1" t="s">
        <v>2985</v>
      </c>
      <c r="D990" s="1">
        <v>0.0</v>
      </c>
      <c r="E990" s="13" t="s">
        <v>22</v>
      </c>
      <c r="F990" s="1">
        <v>26.0</v>
      </c>
      <c r="G990" s="1">
        <v>13.0</v>
      </c>
      <c r="H990" s="1">
        <v>6.0</v>
      </c>
      <c r="I990" s="7">
        <f>IFERROR(__xludf.DUMMYFUNCTION("SPLIT(B990,""T""""Z"")"),41777.0)</f>
        <v>41777</v>
      </c>
      <c r="J990" s="8">
        <f>IFERROR(__xludf.DUMMYFUNCTION("""COMPUTED_VALUE"""),0.11172453703703704)</f>
        <v>0.111724537</v>
      </c>
      <c r="K990" s="9">
        <f t="shared" si="1"/>
        <v>8</v>
      </c>
      <c r="L990" s="7">
        <f>IFERROR(__xludf.DUMMYFUNCTION("SPLIT(C990,""T""""Z"")"),44798.0)</f>
        <v>44798</v>
      </c>
      <c r="M990" s="8">
        <f>IFERROR(__xludf.DUMMYFUNCTION("""COMPUTED_VALUE"""),0.5765046296296297)</f>
        <v>0.5765046296</v>
      </c>
      <c r="N990" s="12">
        <f t="shared" si="2"/>
        <v>133.8361111</v>
      </c>
      <c r="O990" s="11">
        <f t="shared" si="3"/>
        <v>0.4615384615</v>
      </c>
    </row>
    <row r="991">
      <c r="A991" s="1" t="s">
        <v>2986</v>
      </c>
      <c r="B991" s="1" t="s">
        <v>2987</v>
      </c>
      <c r="C991" s="1" t="s">
        <v>2988</v>
      </c>
      <c r="D991" s="1">
        <v>39.0</v>
      </c>
      <c r="E991" s="1" t="s">
        <v>52</v>
      </c>
      <c r="F991" s="1">
        <v>1.0</v>
      </c>
      <c r="G991" s="1">
        <v>3443.0</v>
      </c>
      <c r="H991" s="1">
        <v>3068.0</v>
      </c>
      <c r="I991" s="7">
        <f>IFERROR(__xludf.DUMMYFUNCTION("SPLIT(B991,""T""""Z"")"),43629.0)</f>
        <v>43629</v>
      </c>
      <c r="J991" s="8">
        <f>IFERROR(__xludf.DUMMYFUNCTION("""COMPUTED_VALUE"""),0.8032523148148148)</f>
        <v>0.8032523148</v>
      </c>
      <c r="K991" s="9">
        <f t="shared" si="1"/>
        <v>3</v>
      </c>
      <c r="L991" s="7">
        <f>IFERROR(__xludf.DUMMYFUNCTION("SPLIT(C991,""T""""Z"")"),44798.0)</f>
        <v>44798</v>
      </c>
      <c r="M991" s="8">
        <f>IFERROR(__xludf.DUMMYFUNCTION("""COMPUTED_VALUE"""),0.5177430555555556)</f>
        <v>0.5177430556</v>
      </c>
      <c r="N991" s="10">
        <f t="shared" si="2"/>
        <v>132.4258333</v>
      </c>
      <c r="O991" s="11">
        <f t="shared" si="3"/>
        <v>0.8910833575</v>
      </c>
    </row>
    <row r="992">
      <c r="A992" s="1" t="s">
        <v>2989</v>
      </c>
      <c r="B992" s="1" t="s">
        <v>2990</v>
      </c>
      <c r="C992" s="1" t="s">
        <v>2991</v>
      </c>
      <c r="D992" s="1">
        <v>1.0</v>
      </c>
      <c r="E992" s="1" t="s">
        <v>48</v>
      </c>
      <c r="F992" s="1">
        <v>157.0</v>
      </c>
      <c r="G992" s="1">
        <v>182.0</v>
      </c>
      <c r="H992" s="1">
        <v>179.0</v>
      </c>
      <c r="I992" s="7">
        <f>IFERROR(__xludf.DUMMYFUNCTION("SPLIT(B992,""T""""Z"")"),42952.0)</f>
        <v>42952</v>
      </c>
      <c r="J992" s="8">
        <f>IFERROR(__xludf.DUMMYFUNCTION("""COMPUTED_VALUE"""),0.2254050925925926)</f>
        <v>0.2254050926</v>
      </c>
      <c r="K992" s="9">
        <f t="shared" si="1"/>
        <v>5</v>
      </c>
      <c r="L992" s="7">
        <f>IFERROR(__xludf.DUMMYFUNCTION("SPLIT(C992,""T""""Z"")"),44798.0)</f>
        <v>44798</v>
      </c>
      <c r="M992" s="8">
        <f>IFERROR(__xludf.DUMMYFUNCTION("""COMPUTED_VALUE"""),0.5752430555555555)</f>
        <v>0.5752430556</v>
      </c>
      <c r="N992" s="10">
        <f t="shared" si="2"/>
        <v>133.8058333</v>
      </c>
      <c r="O992" s="11">
        <f t="shared" si="3"/>
        <v>0.9835164835</v>
      </c>
    </row>
    <row r="993">
      <c r="A993" s="1" t="s">
        <v>2992</v>
      </c>
      <c r="B993" s="1" t="s">
        <v>2993</v>
      </c>
      <c r="C993" s="1" t="s">
        <v>2994</v>
      </c>
      <c r="D993" s="1">
        <v>13.0</v>
      </c>
      <c r="E993" s="1" t="s">
        <v>18</v>
      </c>
      <c r="F993" s="1">
        <v>168.0</v>
      </c>
      <c r="G993" s="1">
        <v>482.0</v>
      </c>
      <c r="H993" s="1">
        <v>306.0</v>
      </c>
      <c r="I993" s="7">
        <f>IFERROR(__xludf.DUMMYFUNCTION("SPLIT(B993,""T""""Z"")"),43807.0)</f>
        <v>43807</v>
      </c>
      <c r="J993" s="8">
        <f>IFERROR(__xludf.DUMMYFUNCTION("""COMPUTED_VALUE"""),0.848287037037037)</f>
        <v>0.848287037</v>
      </c>
      <c r="K993" s="9">
        <f t="shared" si="1"/>
        <v>2</v>
      </c>
      <c r="L993" s="7">
        <f>IFERROR(__xludf.DUMMYFUNCTION("SPLIT(C993,""T""""Z"")"),44798.0)</f>
        <v>44798</v>
      </c>
      <c r="M993" s="8">
        <f>IFERROR(__xludf.DUMMYFUNCTION("""COMPUTED_VALUE"""),0.21938657407407408)</f>
        <v>0.2193865741</v>
      </c>
      <c r="N993" s="10">
        <f t="shared" si="2"/>
        <v>125.2652778</v>
      </c>
      <c r="O993" s="11">
        <f t="shared" si="3"/>
        <v>0.6348547718</v>
      </c>
    </row>
    <row r="994">
      <c r="A994" s="1" t="s">
        <v>2995</v>
      </c>
      <c r="B994" s="1" t="s">
        <v>2996</v>
      </c>
      <c r="C994" s="1" t="s">
        <v>2997</v>
      </c>
      <c r="D994" s="1">
        <v>20.0</v>
      </c>
      <c r="E994" s="1" t="s">
        <v>2406</v>
      </c>
      <c r="F994" s="1">
        <v>2098.0</v>
      </c>
      <c r="G994" s="1">
        <v>2189.0</v>
      </c>
      <c r="H994" s="1">
        <v>2179.0</v>
      </c>
      <c r="I994" s="7">
        <f>IFERROR(__xludf.DUMMYFUNCTION("SPLIT(B994,""T""""Z"")"),41659.0)</f>
        <v>41659</v>
      </c>
      <c r="J994" s="8">
        <f>IFERROR(__xludf.DUMMYFUNCTION("""COMPUTED_VALUE"""),0.5931828703703703)</f>
        <v>0.5931828704</v>
      </c>
      <c r="K994" s="9">
        <f t="shared" si="1"/>
        <v>8</v>
      </c>
      <c r="L994" s="7">
        <f>IFERROR(__xludf.DUMMYFUNCTION("SPLIT(C994,""T""""Z"")"),44798.0)</f>
        <v>44798</v>
      </c>
      <c r="M994" s="8">
        <f>IFERROR(__xludf.DUMMYFUNCTION("""COMPUTED_VALUE"""),0.5459259259259259)</f>
        <v>0.5459259259</v>
      </c>
      <c r="N994" s="10">
        <f t="shared" si="2"/>
        <v>133.1022222</v>
      </c>
      <c r="O994" s="11">
        <f t="shared" si="3"/>
        <v>0.995431704</v>
      </c>
    </row>
    <row r="995">
      <c r="A995" s="1" t="s">
        <v>2998</v>
      </c>
      <c r="B995" s="1" t="s">
        <v>2999</v>
      </c>
      <c r="C995" s="1" t="s">
        <v>3000</v>
      </c>
      <c r="D995" s="1">
        <v>51.0</v>
      </c>
      <c r="E995" s="1" t="s">
        <v>3001</v>
      </c>
      <c r="F995" s="1">
        <v>7.0</v>
      </c>
      <c r="G995" s="1">
        <v>2274.0</v>
      </c>
      <c r="H995" s="1">
        <v>1692.0</v>
      </c>
      <c r="I995" s="7">
        <f>IFERROR(__xludf.DUMMYFUNCTION("SPLIT(B995,""T""""Z"")"),41068.0)</f>
        <v>41068</v>
      </c>
      <c r="J995" s="8">
        <f>IFERROR(__xludf.DUMMYFUNCTION("""COMPUTED_VALUE"""),0.6475694444444444)</f>
        <v>0.6475694444</v>
      </c>
      <c r="K995" s="9">
        <f t="shared" si="1"/>
        <v>10</v>
      </c>
      <c r="L995" s="7">
        <f>IFERROR(__xludf.DUMMYFUNCTION("SPLIT(C995,""T""""Z"")"),44798.0)</f>
        <v>44798</v>
      </c>
      <c r="M995" s="8">
        <f>IFERROR(__xludf.DUMMYFUNCTION("""COMPUTED_VALUE"""),0.11405092592592593)</f>
        <v>0.1140509259</v>
      </c>
      <c r="N995" s="10">
        <f t="shared" si="2"/>
        <v>122.7372222</v>
      </c>
      <c r="O995" s="11">
        <f t="shared" si="3"/>
        <v>0.7440633245</v>
      </c>
    </row>
    <row r="996">
      <c r="A996" s="1" t="s">
        <v>3002</v>
      </c>
      <c r="B996" s="1" t="s">
        <v>3003</v>
      </c>
      <c r="C996" s="1" t="s">
        <v>3004</v>
      </c>
      <c r="D996" s="1">
        <v>68.0</v>
      </c>
      <c r="E996" s="1" t="s">
        <v>599</v>
      </c>
      <c r="F996" s="1">
        <v>1279.0</v>
      </c>
      <c r="G996" s="1">
        <v>6106.0</v>
      </c>
      <c r="H996" s="1">
        <v>5625.0</v>
      </c>
      <c r="I996" s="7">
        <f>IFERROR(__xludf.DUMMYFUNCTION("SPLIT(B996,""T""""Z"")"),42284.0)</f>
        <v>42284</v>
      </c>
      <c r="J996" s="8">
        <f>IFERROR(__xludf.DUMMYFUNCTION("""COMPUTED_VALUE"""),0.41055555555555556)</f>
        <v>0.4105555556</v>
      </c>
      <c r="K996" s="9">
        <f t="shared" si="1"/>
        <v>6</v>
      </c>
      <c r="L996" s="7">
        <f>IFERROR(__xludf.DUMMYFUNCTION("SPLIT(C996,""T""""Z"")"),44798.0)</f>
        <v>44798</v>
      </c>
      <c r="M996" s="8">
        <f>IFERROR(__xludf.DUMMYFUNCTION("""COMPUTED_VALUE"""),0.5800231481481481)</f>
        <v>0.5800231481</v>
      </c>
      <c r="N996" s="10">
        <f t="shared" si="2"/>
        <v>133.9205556</v>
      </c>
      <c r="O996" s="11">
        <f t="shared" si="3"/>
        <v>0.9212250246</v>
      </c>
    </row>
    <row r="997">
      <c r="A997" s="1" t="s">
        <v>3005</v>
      </c>
      <c r="B997" s="1" t="s">
        <v>3006</v>
      </c>
      <c r="C997" s="1" t="s">
        <v>3007</v>
      </c>
      <c r="D997" s="1">
        <v>101.0</v>
      </c>
      <c r="E997" s="1" t="s">
        <v>186</v>
      </c>
      <c r="F997" s="1">
        <v>314.0</v>
      </c>
      <c r="G997" s="1">
        <v>0.0</v>
      </c>
      <c r="H997" s="1">
        <v>0.0</v>
      </c>
      <c r="I997" s="7">
        <f>IFERROR(__xludf.DUMMYFUNCTION("SPLIT(B997,""T""""Z"")"),42598.0)</f>
        <v>42598</v>
      </c>
      <c r="J997" s="8">
        <f>IFERROR(__xludf.DUMMYFUNCTION("""COMPUTED_VALUE"""),0.8162731481481481)</f>
        <v>0.8162731481</v>
      </c>
      <c r="K997" s="9">
        <f t="shared" si="1"/>
        <v>6</v>
      </c>
      <c r="L997" s="7">
        <f>IFERROR(__xludf.DUMMYFUNCTION("SPLIT(C997,""T""""Z"")"),44798.0)</f>
        <v>44798</v>
      </c>
      <c r="M997" s="8">
        <f>IFERROR(__xludf.DUMMYFUNCTION("""COMPUTED_VALUE"""),0.5402893518518519)</f>
        <v>0.5402893519</v>
      </c>
      <c r="N997" s="10">
        <f t="shared" si="2"/>
        <v>132.9669444</v>
      </c>
      <c r="O997" s="11">
        <f t="shared" si="3"/>
        <v>0</v>
      </c>
    </row>
    <row r="998">
      <c r="A998" s="1" t="s">
        <v>3008</v>
      </c>
      <c r="B998" s="1" t="s">
        <v>3009</v>
      </c>
      <c r="C998" s="1" t="s">
        <v>692</v>
      </c>
      <c r="D998" s="1">
        <v>83.0</v>
      </c>
      <c r="E998" s="1" t="s">
        <v>52</v>
      </c>
      <c r="F998" s="1">
        <v>153.0</v>
      </c>
      <c r="G998" s="1">
        <v>3039.0</v>
      </c>
      <c r="H998" s="1">
        <v>1783.0</v>
      </c>
      <c r="I998" s="7">
        <f>IFERROR(__xludf.DUMMYFUNCTION("SPLIT(B998,""T""""Z"")"),41870.0)</f>
        <v>41870</v>
      </c>
      <c r="J998" s="8">
        <f>IFERROR(__xludf.DUMMYFUNCTION("""COMPUTED_VALUE"""),0.9894675925925925)</f>
        <v>0.9894675926</v>
      </c>
      <c r="K998" s="9">
        <f t="shared" si="1"/>
        <v>8</v>
      </c>
      <c r="L998" s="7">
        <f>IFERROR(__xludf.DUMMYFUNCTION("SPLIT(C998,""T""""Z"")"),44798.0)</f>
        <v>44798</v>
      </c>
      <c r="M998" s="8">
        <f>IFERROR(__xludf.DUMMYFUNCTION("""COMPUTED_VALUE"""),0.5965393518518518)</f>
        <v>0.5965393519</v>
      </c>
      <c r="N998" s="10">
        <f t="shared" si="2"/>
        <v>134.3169444</v>
      </c>
      <c r="O998" s="11">
        <f t="shared" si="3"/>
        <v>0.5867061533</v>
      </c>
    </row>
    <row r="999">
      <c r="A999" s="1" t="s">
        <v>3010</v>
      </c>
      <c r="B999" s="1" t="s">
        <v>3011</v>
      </c>
      <c r="C999" s="1" t="s">
        <v>3012</v>
      </c>
      <c r="D999" s="1">
        <v>13.0</v>
      </c>
      <c r="E999" s="1" t="s">
        <v>206</v>
      </c>
      <c r="F999" s="1">
        <v>47.0</v>
      </c>
      <c r="G999" s="1">
        <v>223.0</v>
      </c>
      <c r="H999" s="1">
        <v>162.0</v>
      </c>
      <c r="I999" s="7">
        <f>IFERROR(__xludf.DUMMYFUNCTION("SPLIT(B999,""T""""Z"")"),41130.0)</f>
        <v>41130</v>
      </c>
      <c r="J999" s="8">
        <f>IFERROR(__xludf.DUMMYFUNCTION("""COMPUTED_VALUE"""),0.9680787037037037)</f>
        <v>0.9680787037</v>
      </c>
      <c r="K999" s="9">
        <f t="shared" si="1"/>
        <v>10</v>
      </c>
      <c r="L999" s="7">
        <f>IFERROR(__xludf.DUMMYFUNCTION("SPLIT(C999,""T""""Z"")"),44798.0)</f>
        <v>44798</v>
      </c>
      <c r="M999" s="8">
        <f>IFERROR(__xludf.DUMMYFUNCTION("""COMPUTED_VALUE"""),0.08038194444444445)</f>
        <v>0.08038194444</v>
      </c>
      <c r="N999" s="10">
        <f t="shared" si="2"/>
        <v>121.9291667</v>
      </c>
      <c r="O999" s="11">
        <f t="shared" si="3"/>
        <v>0.7264573991</v>
      </c>
    </row>
    <row r="1000">
      <c r="A1000" s="1" t="s">
        <v>3013</v>
      </c>
      <c r="B1000" s="1" t="s">
        <v>3014</v>
      </c>
      <c r="C1000" s="1" t="s">
        <v>3015</v>
      </c>
      <c r="D1000" s="1">
        <v>100.0</v>
      </c>
      <c r="E1000" s="1" t="s">
        <v>124</v>
      </c>
      <c r="F1000" s="1">
        <v>4299.0</v>
      </c>
      <c r="G1000" s="1">
        <v>2346.0</v>
      </c>
      <c r="H1000" s="1">
        <v>2292.0</v>
      </c>
      <c r="I1000" s="7">
        <f>IFERROR(__xludf.DUMMYFUNCTION("SPLIT(B1000,""T""""Z"")"),42241.0)</f>
        <v>42241</v>
      </c>
      <c r="J1000" s="8">
        <f>IFERROR(__xludf.DUMMYFUNCTION("""COMPUTED_VALUE"""),0.3027314814814815)</f>
        <v>0.3027314815</v>
      </c>
      <c r="K1000" s="9">
        <f t="shared" si="1"/>
        <v>7</v>
      </c>
      <c r="L1000" s="7">
        <f>IFERROR(__xludf.DUMMYFUNCTION("SPLIT(C1000,""T""""Z"")"),44798.0)</f>
        <v>44798</v>
      </c>
      <c r="M1000" s="8">
        <f>IFERROR(__xludf.DUMMYFUNCTION("""COMPUTED_VALUE"""),0.4636226851851852)</f>
        <v>0.4636226852</v>
      </c>
      <c r="N1000" s="10">
        <f t="shared" si="2"/>
        <v>131.1269444</v>
      </c>
      <c r="O1000" s="11">
        <f t="shared" si="3"/>
        <v>0.9769820972</v>
      </c>
    </row>
    <row r="1001">
      <c r="A1001" s="1" t="s">
        <v>3016</v>
      </c>
      <c r="B1001" s="1" t="s">
        <v>3017</v>
      </c>
      <c r="C1001" s="1" t="s">
        <v>3018</v>
      </c>
      <c r="D1001" s="1">
        <v>7.0</v>
      </c>
      <c r="E1001" s="1" t="s">
        <v>599</v>
      </c>
      <c r="F1001" s="1">
        <v>541.0</v>
      </c>
      <c r="G1001" s="1">
        <v>1554.0</v>
      </c>
      <c r="H1001" s="1">
        <v>1370.0</v>
      </c>
      <c r="I1001" s="7">
        <f>IFERROR(__xludf.DUMMYFUNCTION("SPLIT(B1001,""T""""Z"")"),41408.0)</f>
        <v>41408</v>
      </c>
      <c r="J1001" s="8">
        <f>IFERROR(__xludf.DUMMYFUNCTION("""COMPUTED_VALUE"""),0.6304050925925926)</f>
        <v>0.6304050926</v>
      </c>
      <c r="K1001" s="9">
        <f t="shared" si="1"/>
        <v>9</v>
      </c>
      <c r="L1001" s="7">
        <f>IFERROR(__xludf.DUMMYFUNCTION("SPLIT(C1001,""T""""Z"")"),44798.0)</f>
        <v>44798</v>
      </c>
      <c r="M1001" s="8">
        <f>IFERROR(__xludf.DUMMYFUNCTION("""COMPUTED_VALUE"""),0.4095486111111111)</f>
        <v>0.4095486111</v>
      </c>
      <c r="N1001" s="10">
        <f t="shared" si="2"/>
        <v>129.8291667</v>
      </c>
      <c r="O1001" s="11">
        <f t="shared" si="3"/>
        <v>0.8815958816</v>
      </c>
    </row>
  </sheetData>
  <autoFilter ref="$A$1:$O$100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63"/>
    <col customWidth="1" min="2" max="2" width="22.38"/>
  </cols>
  <sheetData>
    <row r="1">
      <c r="C1" s="15" t="s">
        <v>3020</v>
      </c>
      <c r="D1" s="15" t="s">
        <v>3021</v>
      </c>
      <c r="E1" s="15" t="s">
        <v>3022</v>
      </c>
      <c r="F1" s="15" t="s">
        <v>3023</v>
      </c>
      <c r="G1" s="15" t="s">
        <v>3024</v>
      </c>
    </row>
    <row r="2">
      <c r="C2" s="16" t="s">
        <v>10</v>
      </c>
      <c r="D2" s="17">
        <f>MIN(data!K2:K1001)</f>
        <v>0</v>
      </c>
      <c r="E2" s="17">
        <f>QUARTILE(data!K2:K1001,1)</f>
        <v>5</v>
      </c>
      <c r="F2" s="17">
        <f>QUARTILE(data!K2:K1001,3)</f>
        <v>8</v>
      </c>
      <c r="G2" s="18">
        <f>MAX(data!K2:K1001)</f>
        <v>14</v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autoFilter ref="$A$1:$B$1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0.0"/>
    <col customWidth="1" min="3" max="3" width="12.63"/>
    <col customWidth="1" min="4" max="4" width="12.25"/>
    <col customWidth="1" min="5" max="5" width="9.38"/>
  </cols>
  <sheetData>
    <row r="1">
      <c r="A1" s="15" t="s">
        <v>3020</v>
      </c>
      <c r="B1" s="15" t="s">
        <v>3021</v>
      </c>
      <c r="C1" s="15" t="s">
        <v>3022</v>
      </c>
      <c r="D1" s="15" t="s">
        <v>3023</v>
      </c>
      <c r="E1" s="15" t="s">
        <v>3024</v>
      </c>
    </row>
    <row r="2">
      <c r="A2" s="16" t="s">
        <v>3026</v>
      </c>
      <c r="B2" s="17">
        <f>MIN(data!F2:F1001)</f>
        <v>0</v>
      </c>
      <c r="C2" s="17">
        <f>QUARTILE(data!F2:F1001,1)</f>
        <v>122</v>
      </c>
      <c r="D2" s="17">
        <f>QUARTILE(data!F2:F1001,3)</f>
        <v>1485</v>
      </c>
      <c r="E2" s="18">
        <f>MAX(data!F2:F1001)</f>
        <v>101509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0.0"/>
    <col customWidth="1" min="3" max="3" width="12.63"/>
    <col customWidth="1" min="4" max="4" width="12.25"/>
    <col customWidth="1" min="5" max="5" width="9.38"/>
  </cols>
  <sheetData>
    <row r="1">
      <c r="A1" s="15" t="s">
        <v>3020</v>
      </c>
      <c r="B1" s="15" t="s">
        <v>3021</v>
      </c>
      <c r="C1" s="15" t="s">
        <v>3022</v>
      </c>
      <c r="D1" s="15" t="s">
        <v>3023</v>
      </c>
      <c r="E1" s="15" t="s">
        <v>3024</v>
      </c>
    </row>
    <row r="2">
      <c r="A2" s="16" t="s">
        <v>3027</v>
      </c>
      <c r="B2" s="17">
        <f>MIN(data!D2:D1001)</f>
        <v>0</v>
      </c>
      <c r="C2" s="17">
        <f>QUARTILE(data!D2:D1001,1)</f>
        <v>0</v>
      </c>
      <c r="D2" s="17">
        <f>QUARTILE(data!D2:D1001,3)</f>
        <v>80</v>
      </c>
      <c r="E2" s="18">
        <f>MAX(data!D2:D1001)</f>
        <v>2352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</cols>
  <sheetData>
    <row r="1">
      <c r="A1" s="15" t="s">
        <v>3020</v>
      </c>
      <c r="B1" s="15" t="s">
        <v>3021</v>
      </c>
      <c r="C1" s="15" t="s">
        <v>3022</v>
      </c>
      <c r="D1" s="15" t="s">
        <v>3023</v>
      </c>
      <c r="E1" s="15" t="s">
        <v>3024</v>
      </c>
    </row>
    <row r="2">
      <c r="A2" s="16" t="s">
        <v>3028</v>
      </c>
      <c r="B2" s="19">
        <f>MIN(data!N2:N1001)</f>
        <v>120.2127778</v>
      </c>
      <c r="C2" s="19">
        <f>QUARTILE(data!N2:N1001,1)</f>
        <v>131.7969444</v>
      </c>
      <c r="D2" s="19">
        <f>QUARTILE(data!N2:N1001,3)</f>
        <v>134.3466667</v>
      </c>
      <c r="E2" s="20">
        <f>MAX(data!N2:N1001)</f>
        <v>213.7502778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63"/>
    <col customWidth="1" min="2" max="2" width="28.25"/>
    <col customWidth="1" min="3" max="3" width="7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  <col customWidth="1" min="2" max="2" width="10.0"/>
    <col customWidth="1" min="3" max="3" width="12.63"/>
    <col customWidth="1" min="4" max="4" width="12.25"/>
    <col customWidth="1" min="5" max="5" width="9.38"/>
  </cols>
  <sheetData>
    <row r="1">
      <c r="A1" s="15" t="s">
        <v>3020</v>
      </c>
      <c r="B1" s="15" t="s">
        <v>3021</v>
      </c>
      <c r="C1" s="15" t="s">
        <v>3022</v>
      </c>
      <c r="D1" s="15" t="s">
        <v>3023</v>
      </c>
      <c r="E1" s="15" t="s">
        <v>3024</v>
      </c>
    </row>
    <row r="2">
      <c r="A2" s="16" t="s">
        <v>3030</v>
      </c>
      <c r="B2" s="21">
        <f>MIN(data!H2:H1001)</f>
        <v>0</v>
      </c>
      <c r="C2" s="21">
        <f>QUARTILE(data!H2:H1001,1)</f>
        <v>159.75</v>
      </c>
      <c r="D2" s="21">
        <f>QUARTILE(data!H2:H1001,3)</f>
        <v>3116.25</v>
      </c>
      <c r="E2" s="22">
        <f>MAX(data!H2:H1001)</f>
        <v>133178</v>
      </c>
    </row>
    <row r="3">
      <c r="A3" s="16" t="s">
        <v>3031</v>
      </c>
      <c r="B3" s="21">
        <f>MIN(data!G2:G1001)</f>
        <v>0</v>
      </c>
      <c r="C3" s="21">
        <f>QUARTILE(data!G2:G1001,1)</f>
        <v>242.75</v>
      </c>
      <c r="D3" s="21">
        <f>QUARTILE(data!G2:G1001,3)</f>
        <v>3517.25</v>
      </c>
      <c r="E3" s="22">
        <f>MAX(data!G2:G1001)</f>
        <v>140350</v>
      </c>
    </row>
    <row r="4">
      <c r="A4" s="16" t="s">
        <v>14</v>
      </c>
      <c r="B4" s="23">
        <f>MIN(data!O3:O1001)</f>
        <v>0</v>
      </c>
      <c r="C4" s="23">
        <f>QUARTILE(data!O3:O1001,1)</f>
        <v>0.6773967027</v>
      </c>
      <c r="D4" s="23">
        <f>QUARTILE(data!O3:O1001,3)</f>
        <v>0.9512298159</v>
      </c>
      <c r="E4" s="24">
        <f>MAX(data!O3:O1001)</f>
        <v>1</v>
      </c>
    </row>
  </sheetData>
  <drawing r:id="rId1"/>
</worksheet>
</file>