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3.xml" ContentType="application/vnd.openxmlformats-officedocument.spreadsheetml.worksheet+xml"/>
  <Override PartName="/xl/comments3.xml" ContentType="application/vnd.openxmlformats-officedocument.spreadsheetml.comments+xml"/>
  <Override PartName="/xl/worksheets/sheet4.xml" ContentType="application/vnd.openxmlformats-officedocument.spreadsheetml.worksheet+xml"/>
  <Override PartName="/xl/comments4.xml" ContentType="application/vnd.openxmlformats-officedocument.spreadsheetml.comments+xml"/>
  <Override PartName="/xl/worksheets/sheet5.xml" ContentType="application/vnd.openxmlformats-officedocument.spreadsheetml.worksheet+xml"/>
  <Override PartName="/xl/comments5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9.104.123.46490"/>
  <workbookPr/>
  <bookViews>
    <workbookView xWindow="360" yWindow="30" windowWidth="25755" windowHeight="11595" activeTab="0"/>
  </bookViews>
  <sheets>
    <sheet name="요원별속성테이블" sheetId="6" r:id="rId1"/>
    <sheet name="요원경험치테이블" sheetId="5" r:id="rId2"/>
    <sheet name="데미지 테이블" sheetId="4" r:id="rId3"/>
    <sheet name="적 속성 테이블" sheetId="8" r:id="rId4"/>
    <sheet name="스테이지 테이블" sheetId="9" r:id="rId5"/>
  </sheets>
  <definedNames>
    <definedName name="BASE" hidden="1">#NAME?</definedName>
  </definedNames>
  <calcPr calcId="152511"/>
</workbook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/>
  <commentList/>
</comments>
</file>

<file path=xl/comments3.xml><?xml version="1.0" encoding="utf-8"?>
<comments xmlns="http://schemas.openxmlformats.org/spreadsheetml/2006/main">
  <authors/>
  <commentList/>
</comments>
</file>

<file path=xl/comments4.xml><?xml version="1.0" encoding="utf-8"?>
<comments xmlns="http://schemas.openxmlformats.org/spreadsheetml/2006/main">
  <authors/>
  <commentList/>
</comments>
</file>

<file path=xl/comments5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<sst xmlns="http://schemas.openxmlformats.org/spreadsheetml/2006/main" count="154" uniqueCount="154">
  <si>
    <t>공격력</t>
  </si>
  <si>
    <t>실제데미지</t>
  </si>
  <si>
    <t>레벨</t>
  </si>
  <si>
    <t>레벨당필요성장치</t>
  </si>
  <si>
    <t>레벨당 잡아야할 몬스터</t>
  </si>
  <si>
    <t>몬스터당경험치</t>
  </si>
  <si>
    <t>1분</t>
  </si>
  <si>
    <t>기본전투시간</t>
  </si>
  <si>
    <t>레벨당플레이시간</t>
  </si>
  <si>
    <t>이동시간(분)</t>
  </si>
  <si>
    <t>총전투시간(분)</t>
  </si>
  <si>
    <t>몬스터방어력</t>
  </si>
  <si>
    <t>타격횟수</t>
  </si>
  <si>
    <t>추가아이템공격력</t>
  </si>
  <si>
    <t>실제데미지+추가아이템공격력</t>
  </si>
  <si>
    <t>실타격횟수</t>
  </si>
  <si>
    <t>내HP</t>
  </si>
  <si>
    <t>몬스터공격속도</t>
  </si>
  <si>
    <t>몬스터기본데미지</t>
  </si>
  <si>
    <t>몬스터평균HP</t>
  </si>
  <si>
    <t>레벨당 완료임무</t>
  </si>
  <si>
    <t>임무</t>
  </si>
  <si>
    <t>임무 경험치</t>
  </si>
  <si>
    <t>필요경험치</t>
  </si>
  <si>
    <t>스테이지1</t>
  </si>
  <si>
    <t>스테이지1 클리어</t>
  </si>
  <si>
    <t>스테이지1클리어 레벨업</t>
  </si>
  <si>
    <t>이름</t>
  </si>
  <si>
    <t>요원A</t>
  </si>
  <si>
    <t>요원B</t>
  </si>
  <si>
    <t>요원C</t>
  </si>
  <si>
    <t>요원D</t>
  </si>
  <si>
    <t>요원E</t>
  </si>
  <si>
    <t>기본속도</t>
  </si>
  <si>
    <t>성장속도</t>
  </si>
  <si>
    <t>기본 체력</t>
  </si>
  <si>
    <t>성장 체력</t>
  </si>
  <si>
    <t>기본 속도</t>
  </si>
  <si>
    <t>성장 속도</t>
  </si>
  <si>
    <t>기본 총기숙련도</t>
  </si>
  <si>
    <t>성장 총기숙련도</t>
  </si>
  <si>
    <t>요원F</t>
  </si>
  <si>
    <t>레벨 25 체력</t>
  </si>
  <si>
    <t>레벨 25 총기숙련도</t>
  </si>
  <si>
    <t>레벨 25 속도</t>
  </si>
  <si>
    <t>기본요원A</t>
  </si>
  <si>
    <t>기본요원B</t>
  </si>
  <si>
    <t>기본요원C</t>
  </si>
  <si>
    <t>기본요원D</t>
  </si>
  <si>
    <t>기본요원E</t>
  </si>
  <si>
    <t>기본요원F</t>
  </si>
  <si>
    <t>부위별체력</t>
  </si>
  <si>
    <t>부위</t>
  </si>
  <si>
    <t>체력</t>
  </si>
  <si>
    <t xml:space="preserve">기본요원A 기준 </t>
  </si>
  <si>
    <t>기본요원A 기준 체력</t>
  </si>
  <si>
    <t>기본요원A 기준 총기숙련도</t>
  </si>
  <si>
    <t>기본요원A 기준 속도</t>
  </si>
  <si>
    <t>=요원별속성테이블!B2+(A3-1)*요원별속성테이블!C2</t>
  </si>
  <si>
    <t>팔</t>
  </si>
  <si>
    <t>다리</t>
  </si>
  <si>
    <t>가슴</t>
  </si>
  <si>
    <t>복부</t>
  </si>
  <si>
    <t>머리</t>
  </si>
  <si>
    <t>부위체력</t>
  </si>
  <si>
    <t>체력*0.3</t>
  </si>
  <si>
    <t>플레이어체력</t>
  </si>
  <si>
    <t>1레벨 방어구</t>
  </si>
  <si>
    <t>적A</t>
  </si>
  <si>
    <t>적B</t>
  </si>
  <si>
    <t>적C</t>
  </si>
  <si>
    <t>방어도</t>
  </si>
  <si>
    <t>머리 체력</t>
  </si>
  <si>
    <t>가슴 체력</t>
  </si>
  <si>
    <t>복부 체력</t>
  </si>
  <si>
    <t>팔 체력</t>
  </si>
  <si>
    <t>다리 체력</t>
  </si>
  <si>
    <t>총알</t>
  </si>
  <si>
    <t>총알 이름</t>
  </si>
  <si>
    <t>총알A</t>
  </si>
  <si>
    <t>총알B</t>
  </si>
  <si>
    <t>총알C</t>
  </si>
  <si>
    <t>총알D</t>
  </si>
  <si>
    <t>총알E</t>
  </si>
  <si>
    <t>기본 데미지</t>
  </si>
  <si>
    <t>기본 탄속</t>
  </si>
  <si>
    <t>100m이동 후 탄속</t>
  </si>
  <si>
    <t>200m이동 후 탄속</t>
  </si>
  <si>
    <t>300m이동 후 탄속</t>
  </si>
  <si>
    <t>질량</t>
  </si>
  <si>
    <t>100m이동 후 데미지</t>
  </si>
  <si>
    <t>200m이동 후 데미지</t>
  </si>
  <si>
    <t>300m이동 후 데미지</t>
  </si>
  <si>
    <t>면접</t>
  </si>
  <si>
    <t>면적</t>
  </si>
  <si>
    <t>단면적</t>
  </si>
  <si>
    <t>1초 후 탄속</t>
  </si>
  <si>
    <t>발사 1초후 탄속</t>
  </si>
  <si>
    <t>발사 2초후 탄속</t>
  </si>
  <si>
    <t>발사 3초후 탄속</t>
  </si>
  <si>
    <t>반동</t>
  </si>
  <si>
    <t>발사 1초후 데미지</t>
  </si>
  <si>
    <t>방어구 1레벨</t>
  </si>
  <si>
    <t>방어구 2레벨</t>
  </si>
  <si>
    <t>방어구 3레벨</t>
  </si>
  <si>
    <t>발사 2초후 데미지</t>
  </si>
  <si>
    <t>발사 3초후 데미지</t>
  </si>
  <si>
    <t>방어 레벨</t>
  </si>
  <si>
    <t>적ㅇ</t>
  </si>
  <si>
    <t>적D</t>
  </si>
  <si>
    <t>적E</t>
  </si>
  <si>
    <t>총알 A 기준 받는 데미지</t>
  </si>
  <si>
    <t>='데미지 테이블'!I2</t>
  </si>
  <si>
    <t>='데미지 테이블'!I2*(30/'데미지 테이블'!B2)</t>
  </si>
  <si>
    <t>='데미지 테이블'!I2*(20/'데미지 테이블'!B2)</t>
  </si>
  <si>
    <t>총알 B 기준 받는 데미지</t>
  </si>
  <si>
    <t>총알 C 기준 받는 데미지</t>
  </si>
  <si>
    <t>총알 D 기준 받는 데미지</t>
  </si>
  <si>
    <t>총알 E 기준 받는 데미지</t>
  </si>
  <si>
    <t>='데미지 테이블'!I3</t>
  </si>
  <si>
    <t>='데미지 테이블'!I4</t>
  </si>
  <si>
    <t>='데미지 테이블'!I5</t>
  </si>
  <si>
    <t>='데미지 테이블'!I6</t>
  </si>
  <si>
    <t>='데미지 테이블'!I3*(30/'데미지 테이블'!B2)</t>
  </si>
  <si>
    <t>스테이지</t>
  </si>
  <si>
    <t>스테이비1</t>
  </si>
  <si>
    <t>스테이지2</t>
  </si>
  <si>
    <t>스테이지3</t>
  </si>
  <si>
    <t>스테이지4</t>
  </si>
  <si>
    <t>스테이지5</t>
  </si>
  <si>
    <t>경험치</t>
  </si>
  <si>
    <t>적Q</t>
  </si>
  <si>
    <t>클리어 경험치</t>
  </si>
  <si>
    <t>총 경험치</t>
  </si>
  <si>
    <t>스테이지 클리어 레벨업</t>
  </si>
  <si>
    <t>기본 전투 시간</t>
  </si>
  <si>
    <t>레벨당 스테이지 클리어수</t>
  </si>
  <si>
    <t>레벨당 스테이지 클리어</t>
  </si>
  <si>
    <t>레벨당 권장 스테이지 클리어</t>
  </si>
  <si>
    <t>='스테이지 테이블'!H2/요원경험치테이블!B2</t>
  </si>
  <si>
    <t>=요원경험치테이블!B3/'스테이지 테이블'!H2</t>
  </si>
  <si>
    <t>=요원경험치테이블!B7/'스테이지 테이블'!H3</t>
  </si>
  <si>
    <t>=요원경험치테이블!B12/'스테이지 테이블'!H4</t>
  </si>
  <si>
    <t>=요원경험치테이블!B17/'스테이지 테이블'!H5</t>
  </si>
  <si>
    <t>=요원경험치테이블!B21/'스테이지 테이블'!H6</t>
  </si>
  <si>
    <t>권장 스테이지</t>
  </si>
  <si>
    <t>레벨별 플레이 시간</t>
  </si>
  <si>
    <t>=G2*'스테이지 테이블'!I2</t>
  </si>
  <si>
    <t>=G6*'스테이지 테이블'!I2</t>
  </si>
  <si>
    <t>=G7*'스테이지 테이블'!I3</t>
  </si>
  <si>
    <t>=G11*'스테이지 테이블'!I3</t>
  </si>
  <si>
    <t>=G12*'스테이지 테이블'!I4</t>
  </si>
  <si>
    <t>=G17*'스테이지 테이블'!I5</t>
  </si>
  <si>
    <t>=G21*'스테이지 테이블'!I5</t>
  </si>
</sst>
</file>

<file path=xl/styles.xml><?xml version="1.0" encoding="utf-8"?>
<styleSheet xmlns="http://schemas.openxmlformats.org/spreadsheetml/2006/main">
  <numFmts count="10">
    <numFmt numFmtId="64" formatCode=""/>
    <numFmt numFmtId="65" formatCode="0.000"/>
    <numFmt numFmtId="66" formatCode="0.0"/>
    <numFmt numFmtId="67" formatCode="0.00000"/>
    <numFmt numFmtId="68" formatCode="0.0000"/>
    <numFmt numFmtId="69" formatCode="0.000000"/>
    <numFmt numFmtId="70" formatCode="0.0000000"/>
    <numFmt numFmtId="71" formatCode="0.00000000"/>
    <numFmt numFmtId="72" formatCode="0_ "/>
    <numFmt numFmtId="73" formatCode="General"/>
  </numFmts>
  <fonts count="33">
    <font>
      <sz val="11.0"/>
      <name val="맑은 고딕"/>
      <scheme val="minor"/>
      <color theme="1"/>
    </font>
    <font>
      <sz val="8.0"/>
      <name val="맑은 고딕"/>
      <scheme val="minor"/>
      <color rgb="FF000000"/>
    </font>
    <font>
      <u/>
      <sz val="11.0"/>
      <name val="맑은 고딕"/>
      <scheme val="minor"/>
      <color theme="10"/>
    </font>
    <font>
      <u/>
      <sz val="11.0"/>
      <name val="맑은 고딕"/>
      <scheme val="minor"/>
      <color theme="11"/>
    </font>
    <font>
      <sz val="11.0"/>
      <name val="맑은 고딕"/>
      <scheme val="minor"/>
      <color rgb="FFFF0000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rgb="FFFFFFFF"/>
    </font>
    <font>
      <sz val="11.0"/>
      <name val="맑은 고딕"/>
      <scheme val="minor"/>
      <color rgb="FFFA7D00"/>
    </font>
    <font>
      <b/>
      <sz val="11.0"/>
      <name val="맑은 고딕"/>
      <scheme val="minor"/>
      <color theme="1"/>
    </font>
    <font>
      <sz val="11.0"/>
      <name val="맑은 고딕"/>
      <scheme val="minor"/>
      <color rgb="FF006100"/>
    </font>
    <font>
      <sz val="11.0"/>
      <name val="맑은 고딕"/>
      <scheme val="minor"/>
      <color rgb="FF9C0006"/>
    </font>
    <font>
      <sz val="11.0"/>
      <name val="맑은 고딕"/>
      <scheme val="minor"/>
      <color rgb="FF9C6500"/>
    </font>
    <font>
      <sz val="11.0"/>
      <name val="맑은 고딕"/>
      <scheme val="minor"/>
      <color theme="0"/>
    </font>
    <font>
      <i/>
      <sz val="11.0"/>
      <name val="맑은 고딕"/>
      <scheme val="minor"/>
      <color rgb="FF7F7F7F"/>
    </font>
    <font>
      <sz val="11.0"/>
      <name val="맑은 고딕"/>
      <scheme val="minor"/>
      <color theme="1"/>
    </font>
    <font>
      <sz val="14.0"/>
      <name val="맑은 고딕"/>
      <color rgb="FF595959"/>
    </font>
    <font>
      <sz val="9.0"/>
      <name val="Calibri"/>
      <color rgb="FF000000"/>
    </font>
    <font>
      <sz val="10.0"/>
      <name val="Calibri"/>
      <color rgb="FF000000"/>
    </font>
    <font>
      <sz val="9.0"/>
      <name val="Calibri"/>
      <color rgb="FF595959"/>
    </font>
    <font>
      <sz val="9.0"/>
      <name val="맑은 고딕"/>
      <color rgb="FF595959"/>
    </font>
    <font>
      <sz val="14.0"/>
      <name val="맑은 고딕"/>
      <color rgb="FF000000"/>
    </font>
    <font>
      <sz val="10.0"/>
      <name val="맑은 고딕"/>
      <scheme val="minor"/>
      <color theme="1"/>
    </font>
    <font>
      <sz val="10.0"/>
      <name val="맑은 고딕"/>
      <color theme="1"/>
    </font>
    <font>
      <sz val="10.0"/>
      <name val="맑은 고딕"/>
      <scheme val="minor"/>
      <color theme="1"/>
    </font>
    <font>
      <sz val="14.0"/>
      <name val="맑은 고딕"/>
      <scheme val="minor"/>
      <color theme="1"/>
    </font>
    <font>
      <sz val="10.0"/>
      <name val="맑은 고딕"/>
      <scheme val="minor"/>
      <color rgb="FF333333"/>
    </font>
    <font>
      <sz val="14.0"/>
      <name val="맑은 고딕"/>
      <scheme val="minor"/>
      <color rgb="FF333333"/>
    </font>
  </fonts>
  <fills count="34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theme="1"/>
        <bgColor rgb="FF000000"/>
      </patternFill>
    </fill>
  </fills>
  <borders count="11"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/>
      <diagonal/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2" applyAlignment="0" applyFill="0" applyNumberFormat="0" applyProtection="0">
      <alignment vertical="center"/>
    </xf>
    <xf numFmtId="0" fontId="7" fillId="0" borderId="3" applyAlignment="0" applyFill="0" applyNumberFormat="0" applyProtection="0">
      <alignment vertical="center"/>
    </xf>
    <xf numFmtId="0" fontId="8" fillId="0" borderId="4" applyAlignment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3" borderId="5" applyAlignment="0" applyNumberFormat="0" applyProtection="0">
      <alignment vertical="center"/>
    </xf>
    <xf numFmtId="0" fontId="10" fillId="4" borderId="6" applyAlignment="0" applyNumberFormat="0" applyProtection="0">
      <alignment vertical="center"/>
    </xf>
    <xf numFmtId="0" fontId="11" fillId="4" borderId="5" applyAlignment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0" borderId="8" applyAlignment="0" applyFill="0" applyNumberFormat="0" applyProtection="0">
      <alignment vertical="center"/>
    </xf>
    <xf numFmtId="0" fontId="14" fillId="0" borderId="9" applyAlignment="0" applyFill="0" applyNumberFormat="0" applyProtection="0">
      <alignment vertical="center"/>
    </xf>
    <xf numFmtId="0" fontId="15" fillId="6" borderId="0" applyAlignment="0" applyBorder="0" applyNumberFormat="0" applyProtection="0">
      <alignment vertical="center"/>
    </xf>
    <xf numFmtId="0" fontId="16" fillId="7" borderId="0" applyAlignment="0" applyBorder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8" fillId="12" borderId="0" applyAlignment="0" applyBorder="0" applyNumberFormat="0" applyProtection="0">
      <alignment vertical="center"/>
    </xf>
    <xf numFmtId="0" fontId="18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8" fillId="16" borderId="0" applyAlignment="0" applyBorder="0" applyNumberFormat="0" applyProtection="0">
      <alignment vertical="center"/>
    </xf>
    <xf numFmtId="0" fontId="18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8" fillId="20" borderId="0" applyAlignment="0" applyBorder="0" applyNumberFormat="0" applyProtection="0">
      <alignment vertical="center"/>
    </xf>
    <xf numFmtId="0" fontId="18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8" fillId="24" borderId="0" applyAlignment="0" applyBorder="0" applyNumberFormat="0" applyProtection="0">
      <alignment vertical="center"/>
    </xf>
    <xf numFmtId="0" fontId="18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8" fillId="28" borderId="0" applyAlignment="0" applyBorder="0" applyNumberFormat="0" applyProtection="0">
      <alignment vertical="center"/>
    </xf>
    <xf numFmtId="0" fontId="18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8" fillId="32" borderId="0" applyAlignment="0" applyBorder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</cellStyleXfs>
  <cellXfs count="15">
    <xf numFmtId="0" fontId="0" fillId="0" borderId="0" xfId="0">
      <alignment vertical="center"/>
    </xf>
    <xf numFmtId="65" fontId="0" fillId="0" borderId="0" xfId="0" applyNumberFormat="1">
      <alignment vertical="center"/>
    </xf>
    <xf numFmtId="2" fontId="0" fillId="0" borderId="0" xfId="0" applyNumberFormat="1">
      <alignment vertical="center"/>
    </xf>
    <xf numFmtId="66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0" fillId="33" borderId="0" xfId="0" applyFill="1">
      <alignment vertical="center"/>
    </xf>
    <xf numFmtId="0" fontId="27" fillId="0" borderId="10" xfId="0" applyNumberFormat="1" applyFill="1" applyBorder="1" applyAlignment="1">
      <alignment vertical="center"/>
    </xf>
    <xf numFmtId="0" fontId="28" fillId="0" borderId="10" xfId="0" applyNumberFormat="1" applyFill="1" applyBorder="1" applyAlignment="1">
      <alignment horizontal="center" vertical="center"/>
    </xf>
    <xf numFmtId="67" fontId="0" fillId="0" borderId="0" xfId="0" applyNumberFormat="1">
      <alignment vertical="center"/>
    </xf>
    <xf numFmtId="68" fontId="0" fillId="0" borderId="0" xfId="0" applyNumberFormat="1">
      <alignment vertical="center"/>
    </xf>
    <xf numFmtId="69" fontId="0" fillId="0" borderId="0" xfId="0" applyNumberFormat="1">
      <alignment vertical="center"/>
    </xf>
    <xf numFmtId="70" fontId="0" fillId="0" borderId="0" xfId="0" applyNumberFormat="1">
      <alignment vertical="center"/>
    </xf>
    <xf numFmtId="71" fontId="0" fillId="0" borderId="0" xfId="0" applyNumberFormat="1">
      <alignment vertical="center"/>
    </xf>
    <xf numFmtId="72" fontId="0" fillId="0" borderId="0" xfId="0" applyNumberFormat="1">
      <alignment vertical="center"/>
    </xf>
    <xf numFmtId="73" fontId="0" fillId="0" borderId="0" xfId="0" applyNumberFormat="1">
      <alignment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2" builtinId="4"/>
    <cellStyle name="통화[0]" xfId="5" builtinId="7"/>
    <cellStyle name="표준" xfId="0" builtinId="0"/>
    <cellStyle name="하이퍼링크" xfId="6" builtinId="8" hidden="1"/>
  </cellStyles>
  <dxfs count="1">
    <dxf>
      <font>
        <color rgb="FF9C0006"/>
      </font>
      <fill>
        <patternFill>
          <bgColor rgb="FFFFC7CE"/>
        </patternFill>
      </fill>
    </dxf>
  </d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worksheet" Target="worksheets/sheet5.xml"></Relationship><Relationship Id="rId6" Type="http://schemas.openxmlformats.org/officeDocument/2006/relationships/theme" Target="theme/theme1.xml"></Relationship><Relationship Id="rId7" Type="http://schemas.openxmlformats.org/officeDocument/2006/relationships/styles" Target="styles.xml"></Relationship><Relationship Id="rId8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drawings/_rels/vmlDrawing2.vml.rels><?xml version="1.0" encoding="UTF-8"?>
<Relationships xmlns="http://schemas.openxmlformats.org/package/2006/relationships"></Relationships>
</file>

<file path=xl/drawings/_rels/vmlDrawing3.vml.rels><?xml version="1.0" encoding="UTF-8"?>
<Relationships xmlns="http://schemas.openxmlformats.org/package/2006/relationships"></Relationships>
</file>

<file path=xl/drawings/_rels/vmlDrawing4.vml.rels><?xml version="1.0" encoding="UTF-8"?>
<Relationships xmlns="http://schemas.openxmlformats.org/package/2006/relationships"></Relationships>
</file>

<file path=xl/drawings/_rels/vmlDrawing5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vmlDrawing" Target="../drawings/vmlDrawing2.vml"></Relationship><Relationship Id="rId2" Type="http://schemas.openxmlformats.org/officeDocument/2006/relationships/comments" Target="../comments2.xml"></Relationship></Relationships>
</file>

<file path=xl/worksheets/_rels/sheet3.xml.rels><?xml version="1.0" encoding="UTF-8"?>
<Relationships xmlns="http://schemas.openxmlformats.org/package/2006/relationships"><Relationship Id="rId1" Type="http://schemas.openxmlformats.org/officeDocument/2006/relationships/vmlDrawing" Target="../drawings/vmlDrawing3.vml"></Relationship><Relationship Id="rId2" Type="http://schemas.openxmlformats.org/officeDocument/2006/relationships/comments" Target="../comments3.xml"></Relationship></Relationships>
</file>

<file path=xl/worksheets/_rels/sheet4.xml.rels><?xml version="1.0" encoding="UTF-8"?>
<Relationships xmlns="http://schemas.openxmlformats.org/package/2006/relationships"><Relationship Id="rId1" Type="http://schemas.openxmlformats.org/officeDocument/2006/relationships/vmlDrawing" Target="../drawings/vmlDrawing4.vml"></Relationship><Relationship Id="rId2" Type="http://schemas.openxmlformats.org/officeDocument/2006/relationships/comments" Target="../comments4.xml"></Relationship></Relationships>
</file>

<file path=xl/worksheets/_rels/sheet5.xml.rels><?xml version="1.0" encoding="UTF-8"?>
<Relationships xmlns="http://schemas.openxmlformats.org/package/2006/relationships"><Relationship Id="rId1" Type="http://schemas.openxmlformats.org/officeDocument/2006/relationships/vmlDrawing" Target="../drawings/vmlDrawing5.vml"></Relationship><Relationship Id="rId2" Type="http://schemas.openxmlformats.org/officeDocument/2006/relationships/comments" Target="../comments5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"/>
  <sheetViews>
    <sheetView tabSelected="1" workbookViewId="0">
      <selection activeCell="G40" sqref="G40"/>
    </sheetView>
  </sheetViews>
  <sheetFormatPr defaultRowHeight="16.500000"/>
  <cols>
    <col min="1" max="1" width="14.75500011" customWidth="1" outlineLevel="0"/>
    <col min="2" max="7" width="15.00500011" customWidth="1" outlineLevel="0"/>
    <col min="8" max="10" width="21.62999916" customWidth="1" outlineLevel="0"/>
    <col min="11" max="15" width="13.25500011" customWidth="1" outlineLevel="0"/>
  </cols>
  <sheetData>
    <row r="1" spans="1:15">
      <c r="A1" s="0" t="s">
        <v>27</v>
      </c>
      <c r="B1" s="0" t="s">
        <v>35</v>
      </c>
      <c r="C1" s="0" t="s">
        <v>36</v>
      </c>
      <c r="D1" s="0" t="s">
        <v>39</v>
      </c>
      <c r="E1" s="0" t="s">
        <v>40</v>
      </c>
      <c r="F1" s="0" t="s">
        <v>37</v>
      </c>
      <c r="G1" s="0" t="s">
        <v>38</v>
      </c>
      <c r="H1" s="0" t="s">
        <v>42</v>
      </c>
      <c r="I1" s="0" t="s">
        <v>43</v>
      </c>
      <c r="J1" s="0" t="s">
        <v>44</v>
      </c>
      <c r="K1" s="0" t="s">
        <v>72</v>
      </c>
      <c r="L1" s="0" t="s">
        <v>73</v>
      </c>
      <c r="M1" s="0" t="s">
        <v>74</v>
      </c>
      <c r="N1" s="0" t="s">
        <v>75</v>
      </c>
      <c r="O1" s="0" t="s">
        <v>76</v>
      </c>
    </row>
    <row r="2" spans="1:15">
      <c r="A2" s="0" t="s">
        <v>45</v>
      </c>
      <c r="B2" s="0">
        <v>140</v>
      </c>
      <c r="C2" s="0">
        <v>6</v>
      </c>
      <c r="D2" s="0">
        <v>100</v>
      </c>
      <c r="E2" s="0">
        <v>3</v>
      </c>
      <c r="F2" s="0">
        <v>100</v>
      </c>
      <c r="G2" s="0">
        <v>3</v>
      </c>
      <c r="H2" s="0">
        <f>B2+C2*24</f>
        <v>284</v>
      </c>
      <c r="I2" s="0">
        <f>D2+E2*24</f>
        <v>172</v>
      </c>
      <c r="J2" s="0">
        <f>F2+G2*24</f>
        <v>172</v>
      </c>
      <c r="K2" s="0">
        <f>B2*0.2</f>
        <v>28</v>
      </c>
      <c r="L2" s="0">
        <f>B2*0.6</f>
        <v>84</v>
      </c>
      <c r="M2" s="0">
        <f>B2*0.5</f>
        <v>70</v>
      </c>
      <c r="N2" s="0">
        <f>B2*0.3</f>
        <v>42</v>
      </c>
      <c r="O2" s="0">
        <f>B2*0.4</f>
        <v>56</v>
      </c>
    </row>
    <row r="3" spans="1:15">
      <c r="A3" s="0" t="s">
        <v>46</v>
      </c>
      <c r="B3" s="0">
        <v>120</v>
      </c>
      <c r="C3" s="0">
        <v>5</v>
      </c>
      <c r="D3" s="0">
        <v>110</v>
      </c>
      <c r="E3" s="0">
        <v>4</v>
      </c>
      <c r="F3" s="0">
        <v>110</v>
      </c>
      <c r="G3" s="0">
        <v>4</v>
      </c>
      <c r="H3" s="0">
        <f>B3+C3*24</f>
        <v>240</v>
      </c>
      <c r="I3" s="0">
        <f>D3+E3*24</f>
        <v>206</v>
      </c>
      <c r="J3" s="0">
        <f>F3+G3*24</f>
        <v>206</v>
      </c>
      <c r="K3" s="0">
        <f>B3*0.2</f>
        <v>24</v>
      </c>
      <c r="L3" s="0">
        <f>B3*0.6</f>
        <v>72</v>
      </c>
      <c r="M3" s="0">
        <f>B3*0.5</f>
        <v>60</v>
      </c>
      <c r="N3" s="0">
        <f>B3*0.3</f>
        <v>36</v>
      </c>
      <c r="O3" s="0">
        <f>B3*0.4</f>
        <v>48</v>
      </c>
    </row>
    <row r="4" spans="1:15">
      <c r="A4" s="0" t="s">
        <v>47</v>
      </c>
      <c r="B4" s="0">
        <v>100</v>
      </c>
      <c r="C4" s="0">
        <v>3</v>
      </c>
      <c r="D4" s="0">
        <v>140</v>
      </c>
      <c r="E4" s="0">
        <v>6</v>
      </c>
      <c r="F4" s="0">
        <v>100</v>
      </c>
      <c r="G4" s="0">
        <v>3</v>
      </c>
      <c r="H4" s="0">
        <f>B4+C4*24</f>
        <v>172</v>
      </c>
      <c r="I4" s="0">
        <f>D4+E4*24</f>
        <v>284</v>
      </c>
      <c r="J4" s="0">
        <f>F4+G4*24</f>
        <v>172</v>
      </c>
      <c r="K4" s="0">
        <f>B4*0.2</f>
        <v>20</v>
      </c>
      <c r="L4" s="0">
        <f>B4*0.6</f>
        <v>60</v>
      </c>
      <c r="M4" s="0">
        <f>B4*0.5</f>
        <v>50</v>
      </c>
      <c r="N4" s="0">
        <f>B4*0.3</f>
        <v>30</v>
      </c>
      <c r="O4" s="0">
        <f>B4*0.4</f>
        <v>40</v>
      </c>
    </row>
    <row r="5" spans="1:15">
      <c r="A5" s="0" t="s">
        <v>48</v>
      </c>
      <c r="B5" s="0">
        <v>110</v>
      </c>
      <c r="C5" s="0">
        <v>4</v>
      </c>
      <c r="D5" s="0">
        <v>120</v>
      </c>
      <c r="E5" s="0">
        <v>5</v>
      </c>
      <c r="F5" s="0">
        <v>110</v>
      </c>
      <c r="G5" s="0">
        <v>4</v>
      </c>
      <c r="H5" s="0">
        <f>B5+C5*24</f>
        <v>206</v>
      </c>
      <c r="I5" s="0">
        <f>D5+E5*24</f>
        <v>240</v>
      </c>
      <c r="J5" s="0">
        <f>F5+G5*24</f>
        <v>206</v>
      </c>
      <c r="K5" s="0">
        <f>B5*0.2</f>
        <v>22</v>
      </c>
      <c r="L5" s="0">
        <f>B5*0.6</f>
        <v>66</v>
      </c>
      <c r="M5" s="0">
        <f>B5*0.5</f>
        <v>55</v>
      </c>
      <c r="N5" s="0">
        <f>B5*0.3</f>
        <v>33</v>
      </c>
      <c r="O5" s="0">
        <f>B5*0.4</f>
        <v>44</v>
      </c>
    </row>
    <row r="6" spans="1:15">
      <c r="A6" s="0" t="s">
        <v>49</v>
      </c>
      <c r="B6" s="0">
        <v>100</v>
      </c>
      <c r="C6" s="0">
        <v>3</v>
      </c>
      <c r="D6" s="0">
        <v>100</v>
      </c>
      <c r="E6" s="0">
        <v>3</v>
      </c>
      <c r="F6" s="0">
        <v>140</v>
      </c>
      <c r="G6" s="0">
        <v>6</v>
      </c>
      <c r="H6" s="0">
        <f>B6+C6*24</f>
        <v>172</v>
      </c>
      <c r="I6" s="0">
        <f>D6+E6*24</f>
        <v>172</v>
      </c>
      <c r="J6" s="0">
        <f>F6+G6*24</f>
        <v>284</v>
      </c>
      <c r="K6" s="0">
        <f>B6*0.2</f>
        <v>20</v>
      </c>
      <c r="L6" s="0">
        <f>B6*0.6</f>
        <v>60</v>
      </c>
      <c r="M6" s="0">
        <f>B6*0.5</f>
        <v>50</v>
      </c>
      <c r="N6" s="0">
        <f>B6*0.3</f>
        <v>30</v>
      </c>
      <c r="O6" s="0">
        <f>B6*0.4</f>
        <v>40</v>
      </c>
    </row>
    <row r="7" spans="1:15">
      <c r="A7" s="0" t="s">
        <v>50</v>
      </c>
      <c r="B7" s="0">
        <v>110</v>
      </c>
      <c r="C7" s="0">
        <v>4</v>
      </c>
      <c r="D7" s="0">
        <v>110</v>
      </c>
      <c r="E7" s="0">
        <v>4</v>
      </c>
      <c r="F7" s="0">
        <v>120</v>
      </c>
      <c r="G7" s="0">
        <v>5</v>
      </c>
      <c r="H7" s="0">
        <f>B7+C7*24</f>
        <v>206</v>
      </c>
      <c r="I7" s="0">
        <f>D7+E7*24</f>
        <v>206</v>
      </c>
      <c r="J7" s="0">
        <f>F7+G7*24</f>
        <v>240</v>
      </c>
      <c r="K7" s="0">
        <f>B7*0.2</f>
        <v>22</v>
      </c>
      <c r="L7" s="0">
        <f>B7*0.6</f>
        <v>66</v>
      </c>
      <c r="M7" s="0">
        <f>B7*0.5</f>
        <v>55</v>
      </c>
      <c r="N7" s="0">
        <f>B7*0.3</f>
        <v>33</v>
      </c>
      <c r="O7" s="0">
        <f>B7*0.4</f>
        <v>44</v>
      </c>
    </row>
  </sheetData>
  <phoneticPr fontId="1" type="noConversion"/>
  <conditionalFormatting sqref="B2:J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{bfffafe6-caeb-f9d8-bfff-afe6caebf9d8}</x14:id>
        </ext>
      </extLst>
    </cfRule>
  </conditionalFormatting>
  <pageMargins left="0.70" right="0.70" top="0.75" bottom="0.75" header="0.30" footer="0.30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ffafe6-caeb-f9d8-bfff-afe6caebf9d8}">
            <x14:dataBar minLength="0" maxLength="100" border="1" gradient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I27" sqref="I27"/>
    </sheetView>
  </sheetViews>
  <sheetFormatPr defaultRowHeight="16.500000"/>
  <cols>
    <col min="2" max="2" width="13.88000011" customWidth="1" outlineLevel="0"/>
    <col min="3" max="6" width="25.50499916" customWidth="1" outlineLevel="0"/>
    <col min="7" max="7" width="29.75499916" customWidth="1" outlineLevel="0"/>
    <col min="8" max="10" width="20.75499916" customWidth="1" outlineLevel="0"/>
  </cols>
  <sheetData>
    <row r="1" spans="1:8">
      <c r="A1" s="0" t="s">
        <v>2</v>
      </c>
      <c r="B1" s="0" t="s">
        <v>23</v>
      </c>
      <c r="C1" s="0" t="s">
        <v>55</v>
      </c>
      <c r="D1" s="0" t="s">
        <v>56</v>
      </c>
      <c r="E1" s="0" t="s">
        <v>57</v>
      </c>
      <c r="F1" s="0" t="s">
        <v>145</v>
      </c>
      <c r="G1" s="0" t="s">
        <v>138</v>
      </c>
      <c r="H1" s="0" t="s">
        <v>146</v>
      </c>
    </row>
    <row r="2" spans="1:8">
      <c r="A2" s="0">
        <v>1</v>
      </c>
      <c r="B2" s="0">
        <v>2000</v>
      </c>
      <c r="C2" s="0">
        <f>요원별속성테이블!B2+(A2-1)*요원별속성테이블!C2</f>
        <v>140</v>
      </c>
      <c r="D2" s="0">
        <f>요원별속성테이블!D2+(A2-1)*요원별속성테이블!E2</f>
        <v>100</v>
      </c>
      <c r="E2" s="0">
        <v>100</v>
      </c>
      <c r="F2" s="0">
        <v>1</v>
      </c>
      <c r="G2" s="3">
        <f>'스테이지 테이블'!H2/요원경험치테이블!B2</f>
        <v>1.05</v>
      </c>
      <c r="H2" s="3">
        <f>G2*'스테이지 테이블'!I2</f>
        <v>3.15</v>
      </c>
    </row>
    <row r="3" spans="1:8">
      <c r="A3" s="0">
        <v>2</v>
      </c>
      <c r="B3" s="4">
        <f>B2*1.4</f>
        <v>2800</v>
      </c>
      <c r="C3" s="0">
        <f>요원별속성테이블!B2+(A3-1)*요원별속성테이블!C2</f>
        <v>146</v>
      </c>
      <c r="D3" s="0">
        <f>요원별속성테이블!D2+(A3-1)*요원별속성테이블!E2</f>
        <v>103</v>
      </c>
      <c r="E3" s="0">
        <v>103</v>
      </c>
      <c r="F3" s="0">
        <v>1</v>
      </c>
      <c r="G3" s="3">
        <f>요원경험치테이블!B3/'스테이지 테이블'!H2</f>
        <v>1.33333333333333</v>
      </c>
      <c r="H3" s="3">
        <f>G3*'스테이지 테이블'!I2</f>
        <v>4</v>
      </c>
    </row>
    <row r="4" spans="1:8">
      <c r="A4" s="0">
        <v>3</v>
      </c>
      <c r="B4" s="4">
        <f>B3*1.35</f>
        <v>3780</v>
      </c>
      <c r="C4" s="0">
        <f>요원별속성테이블!B2+(A4-1)*요원별속성테이블!C2</f>
        <v>152</v>
      </c>
      <c r="D4" s="0">
        <f>요원별속성테이블!D2+(A4-1)*요원별속성테이블!E2</f>
        <v>106</v>
      </c>
      <c r="E4" s="0">
        <v>106</v>
      </c>
      <c r="F4" s="0">
        <v>1</v>
      </c>
      <c r="G4" s="3">
        <f>요원경험치테이블!B4/'스테이지 테이블'!H2</f>
        <v>1.8</v>
      </c>
      <c r="H4" s="3">
        <f>G4*'스테이지 테이블'!I2</f>
        <v>5.4</v>
      </c>
    </row>
    <row r="5" spans="1:8">
      <c r="A5" s="0">
        <v>4</v>
      </c>
      <c r="B5" s="4">
        <f>B4*1.3</f>
        <v>4914</v>
      </c>
      <c r="C5" s="0">
        <f>요원별속성테이블!B2+(A3-1)*요원별속성테이블!C2</f>
        <v>146</v>
      </c>
      <c r="D5" s="0">
        <v>109</v>
      </c>
      <c r="E5" s="0">
        <v>109</v>
      </c>
      <c r="F5" s="0">
        <v>1</v>
      </c>
      <c r="G5" s="3">
        <f>요원경험치테이블!B5/'스테이지 테이블'!H2</f>
        <v>2.34</v>
      </c>
      <c r="H5" s="3">
        <f>G5*'스테이지 테이블'!I2</f>
        <v>7.02</v>
      </c>
    </row>
    <row r="6" spans="1:8">
      <c r="A6" s="0">
        <v>5</v>
      </c>
      <c r="B6" s="4">
        <f>B5*1.28</f>
        <v>6289.92</v>
      </c>
      <c r="C6" s="0">
        <f>요원별속성테이블!B2+(A5-1)*요원별속성테이블!C2</f>
        <v>158</v>
      </c>
      <c r="D6" s="0">
        <v>112</v>
      </c>
      <c r="E6" s="0">
        <v>112</v>
      </c>
      <c r="F6" s="0">
        <v>1</v>
      </c>
      <c r="G6" s="3">
        <f>요원경험치테이블!B6/'스테이지 테이블'!H2</f>
        <v>2.9952</v>
      </c>
      <c r="H6" s="3">
        <f>G6*'스테이지 테이블'!I2</f>
        <v>8.9856</v>
      </c>
    </row>
    <row r="7" spans="1:8">
      <c r="A7" s="0">
        <v>6</v>
      </c>
      <c r="B7" s="4">
        <f>B6*1.25</f>
        <v>7862.4</v>
      </c>
      <c r="C7" s="0">
        <f>요원별속성테이블!B2+(A6-1)*요원별속성테이블!C2</f>
        <v>164</v>
      </c>
      <c r="D7" s="0">
        <v>115</v>
      </c>
      <c r="E7" s="0">
        <v>115</v>
      </c>
      <c r="F7" s="0">
        <v>2</v>
      </c>
      <c r="G7" s="3">
        <f>요원경험치테이블!B7/'스테이지 테이블'!H3</f>
        <v>1.94613861386139</v>
      </c>
      <c r="H7" s="3">
        <f>G7*'스테이지 테이블'!I3</f>
        <v>7.78455445544555</v>
      </c>
    </row>
    <row r="8" spans="1:8">
      <c r="A8" s="0">
        <v>7</v>
      </c>
      <c r="B8" s="4">
        <f>B7*1.25</f>
        <v>9828</v>
      </c>
      <c r="C8" s="0">
        <f>요원별속성테이블!B2+(A7-1)*요원별속성테이블!C2</f>
        <v>170</v>
      </c>
      <c r="D8" s="0">
        <v>118</v>
      </c>
      <c r="E8" s="0">
        <v>118</v>
      </c>
      <c r="F8" s="0">
        <v>2</v>
      </c>
      <c r="G8" s="3">
        <f>요원경험치테이블!B8/'스테이지 테이블'!H3</f>
        <v>2.43267326732673</v>
      </c>
      <c r="H8" s="3">
        <f>G8*'스테이지 테이블'!I3</f>
        <v>9.73069306930693</v>
      </c>
    </row>
    <row r="9" spans="1:8">
      <c r="A9" s="0">
        <v>8</v>
      </c>
      <c r="B9" s="4">
        <f>B8*1.25</f>
        <v>12285</v>
      </c>
      <c r="C9" s="0">
        <f>요원별속성테이블!B2+(A8-1)*요원별속성테이블!C2</f>
        <v>176</v>
      </c>
      <c r="D9" s="0">
        <v>121</v>
      </c>
      <c r="E9" s="0">
        <v>121</v>
      </c>
      <c r="F9" s="0">
        <v>2</v>
      </c>
      <c r="G9" s="3">
        <f>요원경험치테이블!B9/'스테이지 테이블'!H3</f>
        <v>3.04084158415842</v>
      </c>
      <c r="H9" s="3">
        <f>G9*'스테이지 테이블'!I3</f>
        <v>12.1633663366337</v>
      </c>
    </row>
    <row r="10" spans="1:8">
      <c r="A10" s="0">
        <v>9</v>
      </c>
      <c r="B10" s="4">
        <f>B9*1.25</f>
        <v>15356.25</v>
      </c>
      <c r="C10" s="0">
        <f>요원별속성테이블!B2+(A9-1)*요원별속성테이블!C2</f>
        <v>182</v>
      </c>
      <c r="D10" s="0">
        <v>124</v>
      </c>
      <c r="E10" s="0">
        <v>124</v>
      </c>
      <c r="F10" s="0">
        <v>2</v>
      </c>
      <c r="G10" s="3">
        <f>요원경험치테이블!B10/'스테이지 테이블'!H3</f>
        <v>3.80105198019802</v>
      </c>
      <c r="H10" s="3">
        <f>G10*'스테이지 테이블'!I3</f>
        <v>15.2042079207921</v>
      </c>
    </row>
    <row r="11" spans="1:8">
      <c r="A11" s="0">
        <v>10</v>
      </c>
      <c r="B11" s="4">
        <f>B10*1.25</f>
        <v>19195.3125</v>
      </c>
      <c r="C11" s="0">
        <f>요원별속성테이블!B2+(A10-1)*요원별속성테이블!C2</f>
        <v>188</v>
      </c>
      <c r="D11" s="0">
        <v>127</v>
      </c>
      <c r="E11" s="0">
        <v>127</v>
      </c>
      <c r="F11" s="0">
        <v>2</v>
      </c>
      <c r="G11" s="3">
        <f>요원경험치테이블!B11/'스테이지 테이블'!H3</f>
        <v>4.75131497524753</v>
      </c>
      <c r="H11" s="3">
        <f>G11*'스테이지 테이블'!I3</f>
        <v>19.0052599009901</v>
      </c>
    </row>
    <row r="12" spans="1:8">
      <c r="A12" s="0">
        <v>11</v>
      </c>
      <c r="B12" s="4">
        <f>B11*1.23</f>
        <v>23610.234375</v>
      </c>
      <c r="C12" s="0">
        <f>요원별속성테이블!B2+(A11-1)*요원별속성테이블!C2</f>
        <v>194</v>
      </c>
      <c r="D12" s="0">
        <v>130</v>
      </c>
      <c r="E12" s="0">
        <v>130</v>
      </c>
      <c r="F12" s="0">
        <v>3</v>
      </c>
      <c r="G12" s="3">
        <f>요원경험치테이블!B12/'스테이지 테이블'!H4</f>
        <v>3.67760660046729</v>
      </c>
      <c r="H12" s="3">
        <f>G12*'스테이지 테이블'!I4</f>
        <v>22.0656396028037</v>
      </c>
    </row>
    <row r="13" spans="1:8">
      <c r="A13" s="0">
        <v>12</v>
      </c>
      <c r="B13" s="4">
        <f>B12*1.2</f>
        <v>28332.28125</v>
      </c>
      <c r="C13" s="0">
        <f>요원별속성테이블!B2+(A12-1)*요원별속성테이블!C2</f>
        <v>200</v>
      </c>
      <c r="D13" s="0">
        <v>133</v>
      </c>
      <c r="E13" s="0">
        <v>133</v>
      </c>
      <c r="F13" s="0">
        <v>3</v>
      </c>
      <c r="G13" s="3">
        <f>요원경험치테이블!B13/'스테이지 테이블'!H4</f>
        <v>4.41312792056075</v>
      </c>
      <c r="H13" s="3">
        <f>G13*'스테이지 테이블'!I4</f>
        <v>26.4787675233645</v>
      </c>
    </row>
    <row r="14" spans="1:8">
      <c r="A14" s="0">
        <v>13</v>
      </c>
      <c r="B14" s="4">
        <f>B13*1.2</f>
        <v>33998.7375</v>
      </c>
      <c r="C14" s="0">
        <f>요원별속성테이블!B2+(A13-1)*요원별속성테이블!C2</f>
        <v>206</v>
      </c>
      <c r="D14" s="0">
        <v>136</v>
      </c>
      <c r="E14" s="0">
        <v>136</v>
      </c>
      <c r="F14" s="0">
        <v>3</v>
      </c>
      <c r="G14" s="3">
        <f>요원경험치테이블!B14/'스테이지 테이블'!H4</f>
        <v>5.2957535046729</v>
      </c>
      <c r="H14" s="3">
        <f>G14*'스테이지 테이블'!I4</f>
        <v>31.7745210280374</v>
      </c>
    </row>
    <row r="15" spans="1:8">
      <c r="A15" s="0">
        <v>14</v>
      </c>
      <c r="B15" s="4">
        <f>B14*1.2</f>
        <v>40798.485</v>
      </c>
      <c r="C15" s="0">
        <f>요원별속성테이블!B2+(A14-1)*요원별속성테이블!C2</f>
        <v>212</v>
      </c>
      <c r="D15" s="0">
        <v>139</v>
      </c>
      <c r="E15" s="0">
        <v>139</v>
      </c>
      <c r="F15" s="0">
        <v>3</v>
      </c>
      <c r="G15" s="3">
        <f>요원경험치테이블!B15/'스테이지 테이블'!H4</f>
        <v>6.35490420560748</v>
      </c>
      <c r="H15" s="3">
        <f>G15*'스테이지 테이블'!I4</f>
        <v>38.1294252336449</v>
      </c>
    </row>
    <row r="16" spans="1:8">
      <c r="A16" s="0">
        <v>15</v>
      </c>
      <c r="B16" s="4">
        <f>B15*1.2</f>
        <v>48958.182</v>
      </c>
      <c r="C16" s="0">
        <f>요원별속성테이블!B2+(A15-1)*요원별속성테이블!C2</f>
        <v>218</v>
      </c>
      <c r="D16" s="0">
        <v>142</v>
      </c>
      <c r="E16" s="0">
        <v>142</v>
      </c>
      <c r="F16" s="0">
        <v>3</v>
      </c>
      <c r="G16" s="3">
        <f>요원경험치테이블!B16/'스테이지 테이블'!H4</f>
        <v>7.62588504672897</v>
      </c>
      <c r="H16" s="3">
        <f>G16*'스테이지 테이블'!I4</f>
        <v>45.7553102803738</v>
      </c>
    </row>
    <row r="17" spans="1:8">
      <c r="A17" s="0">
        <v>16</v>
      </c>
      <c r="B17" s="4">
        <f>B16*1.19</f>
        <v>58260.23658</v>
      </c>
      <c r="C17" s="0">
        <f>요원별속성테이블!B2+(A16-1)*요원별속성테이블!C2</f>
        <v>224</v>
      </c>
      <c r="D17" s="0">
        <v>145</v>
      </c>
      <c r="E17" s="0">
        <v>145</v>
      </c>
      <c r="F17" s="0">
        <v>4</v>
      </c>
      <c r="G17" s="3">
        <f>요원경험치테이블!B17/'스테이지 테이블'!H5</f>
        <v>4.25257201313869</v>
      </c>
      <c r="H17" s="3">
        <f>G17*'스테이지 테이블'!I5</f>
        <v>38.2731481182482</v>
      </c>
    </row>
    <row r="18" spans="1:8">
      <c r="A18" s="0">
        <v>17</v>
      </c>
      <c r="B18" s="4">
        <f>B17*1.18</f>
        <v>68747.0791644</v>
      </c>
      <c r="C18" s="0">
        <f>요원별속성테이블!B2+(A17-1)*요원별속성테이블!C2</f>
        <v>230</v>
      </c>
      <c r="D18" s="0">
        <v>148</v>
      </c>
      <c r="E18" s="0">
        <v>148</v>
      </c>
      <c r="F18" s="0">
        <v>4</v>
      </c>
      <c r="G18" s="3">
        <f>요원경험치테이블!B18/'스테이지 테이블'!H5</f>
        <v>5.01803497550365</v>
      </c>
      <c r="H18" s="3">
        <f>G18*'스테이지 테이블'!I5</f>
        <v>45.1623147795329</v>
      </c>
    </row>
    <row r="19" spans="1:8">
      <c r="A19" s="0">
        <v>18</v>
      </c>
      <c r="B19" s="4">
        <f>B18*1.17</f>
        <v>80434.082622348</v>
      </c>
      <c r="C19" s="0">
        <f>요원별속성테이블!B2+(A18-1)*요원별속성테이블!C2</f>
        <v>236</v>
      </c>
      <c r="D19" s="0">
        <v>151</v>
      </c>
      <c r="E19" s="0">
        <v>151</v>
      </c>
      <c r="F19" s="0">
        <v>4</v>
      </c>
      <c r="G19" s="3">
        <f>요원경험치테이블!B19/'스테이지 테이블'!H5</f>
        <v>5.87110092133927</v>
      </c>
      <c r="H19" s="3">
        <f>G19*'스테이지 테이블'!I5</f>
        <v>52.8399082920534</v>
      </c>
    </row>
    <row r="20" spans="1:8">
      <c r="A20" s="0">
        <v>19</v>
      </c>
      <c r="B20" s="4">
        <f>B19*1.16</f>
        <v>93303.5358419237</v>
      </c>
      <c r="C20" s="0">
        <f>요원별속성테이블!B2+(A19-1)*요원별속성테이블!C2</f>
        <v>242</v>
      </c>
      <c r="D20" s="0">
        <v>154</v>
      </c>
      <c r="E20" s="0">
        <v>154</v>
      </c>
      <c r="F20" s="0">
        <v>4</v>
      </c>
      <c r="G20" s="3">
        <f>요원경험치테이블!B20/'스테이지 테이블'!H5</f>
        <v>6.81047706875355</v>
      </c>
      <c r="H20" s="3">
        <f>G20*'스테이지 테이블'!I5</f>
        <v>61.294293618782</v>
      </c>
    </row>
    <row r="21" spans="1:8">
      <c r="A21" s="0">
        <v>20</v>
      </c>
      <c r="B21" s="4">
        <f>B20*1.159</f>
        <v>108138.79804079</v>
      </c>
      <c r="C21" s="0">
        <f>요원별속성테이블!B2+(A20-1)*요원별속성테이블!C2</f>
        <v>248</v>
      </c>
      <c r="D21" s="0">
        <v>157</v>
      </c>
      <c r="E21" s="0">
        <v>157</v>
      </c>
      <c r="F21" s="0">
        <v>4</v>
      </c>
      <c r="G21" s="3">
        <f>요원경험치테이블!B21/'스테이지 테이블'!H5</f>
        <v>7.89334292268537</v>
      </c>
      <c r="H21" s="3">
        <f>G21*'스테이지 테이블'!I5</f>
        <v>71.0400863041683</v>
      </c>
    </row>
    <row r="22" spans="1:8">
      <c r="A22" s="0">
        <v>21</v>
      </c>
      <c r="B22" s="4">
        <f>B21*1.14</f>
        <v>123278.2297665</v>
      </c>
      <c r="C22" s="0">
        <f>요원별속성테이블!B2+(A21-1)*요원별속성테이블!C2</f>
        <v>254</v>
      </c>
      <c r="D22" s="0">
        <v>160</v>
      </c>
      <c r="E22" s="0">
        <v>160</v>
      </c>
      <c r="F22" s="0">
        <v>5</v>
      </c>
      <c r="G22" s="3">
        <f>요원경험치테이블!B22/'스테이지 테이블'!H6</f>
        <v>5.52321817950269</v>
      </c>
      <c r="H22" s="3">
        <f>G22*'스테이지 테이블'!I6</f>
        <v>71.801836333535</v>
      </c>
    </row>
    <row r="23" spans="1:8">
      <c r="A23" s="0">
        <v>22</v>
      </c>
      <c r="B23" s="4">
        <f>B22*1.138</f>
        <v>140290.625474277</v>
      </c>
      <c r="C23" s="0">
        <f>요원별속성테이블!B2+(A22-1)*요원별속성테이블!C2</f>
        <v>260</v>
      </c>
      <c r="D23" s="0">
        <v>163</v>
      </c>
      <c r="E23" s="0">
        <v>163</v>
      </c>
      <c r="F23" s="0">
        <v>5</v>
      </c>
      <c r="G23" s="3">
        <f>요원경험치테이블!B23/'스테이지 테이블'!H6</f>
        <v>6.28542228827406</v>
      </c>
      <c r="H23" s="3">
        <f>G23*'스테이지 테이블'!I6</f>
        <v>81.7104897475628</v>
      </c>
    </row>
    <row r="24" spans="1:8">
      <c r="A24" s="0">
        <v>23</v>
      </c>
      <c r="B24" s="4">
        <f>B23*1.134</f>
        <v>159089.56928783</v>
      </c>
      <c r="C24" s="0">
        <f>요원별속성테이블!B2+(A23-1)*요원별속성테이블!C2</f>
        <v>266</v>
      </c>
      <c r="D24" s="0">
        <v>166</v>
      </c>
      <c r="E24" s="0">
        <v>166</v>
      </c>
      <c r="F24" s="0">
        <v>5</v>
      </c>
      <c r="G24" s="3">
        <f>요원경험치테이블!B24/'스테이지 테이블'!H6</f>
        <v>7.12766887490279</v>
      </c>
      <c r="H24" s="3">
        <f>G24*'스테이지 테이블'!I6</f>
        <v>92.6596953737362</v>
      </c>
    </row>
    <row r="25" spans="1:8">
      <c r="A25" s="0">
        <v>24</v>
      </c>
      <c r="B25" s="4">
        <f>B24*1.13</f>
        <v>179771.213295248</v>
      </c>
      <c r="C25" s="0">
        <f>요원별속성테이블!B2+(A24-1)*요원별속성테이블!C2</f>
        <v>272</v>
      </c>
      <c r="D25" s="0">
        <v>169</v>
      </c>
      <c r="E25" s="0">
        <v>169</v>
      </c>
      <c r="F25" s="0">
        <v>5</v>
      </c>
      <c r="G25" s="3">
        <f>요원경험치테이블!B25/'스테이지 테이블'!H6</f>
        <v>8.05426582864015</v>
      </c>
      <c r="H25" s="3">
        <f>G25*'스테이지 테이블'!I6</f>
        <v>104.705455772322</v>
      </c>
    </row>
    <row r="26" spans="1:8">
      <c r="A26" s="0">
        <v>25</v>
      </c>
      <c r="B26" s="4">
        <f>B25*1.12</f>
        <v>201343.758890678</v>
      </c>
      <c r="C26" s="0">
        <f>요원별속성테이블!B2+(A25-1)*요원별속성테이블!C2</f>
        <v>278</v>
      </c>
      <c r="D26" s="0">
        <v>172</v>
      </c>
      <c r="E26" s="0">
        <v>172</v>
      </c>
      <c r="F26" s="0">
        <v>5</v>
      </c>
      <c r="G26" s="3">
        <f>요원경험치테이블!B26/'스테이지 테이블'!H6</f>
        <v>9.02077772807697</v>
      </c>
      <c r="H26" s="3">
        <f>G26*'스테이지 테이블'!I6</f>
        <v>117.270110465001</v>
      </c>
    </row>
  </sheetData>
  <phoneticPr fontId="1" type="noConversion"/>
  <conditionalFormatting sqref="H2:H2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{521242cb-2717-2534-5212-42cb27172534}</x14:id>
        </ext>
      </extLst>
    </cfRule>
  </conditionalFormatting>
  <conditionalFormatting sqref="G2:G2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{eeaefeb7-9bb8-9988-eeae-feb79bb89988}</x14:id>
        </ext>
      </extLst>
    </cfRule>
  </conditionalFormatting>
  <conditionalFormatting sqref="B2:B2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{6a2a7a33-1f3c-1d1c-6a2a-7a331f3c1d1c}</x14:id>
        </ext>
      </extLst>
    </cfRule>
  </conditionalFormatting>
  <pageMargins left="0.70" right="0.70" top="0.75" bottom="0.75" header="0.30" footer="0.30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1242cb-2717-2534-5212-42cb27172534}">
            <x14:dataBar minLength="0" maxLength="100" border="1" gradient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8-9988-eeae-feb79bb89988}">
            <x14:dataBar minLength="0" maxLength="100" border="1" gradient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c-1d1c-6a2a-7a331f3c1d1c}">
            <x14:dataBar minLength="0" maxLength="100" border="1" gradient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H22" sqref="H22"/>
    </sheetView>
  </sheetViews>
  <sheetFormatPr defaultRowHeight="16.500000"/>
  <cols>
    <col min="1" max="5" width="17.62999916" customWidth="1" outlineLevel="0"/>
    <col min="6" max="11" width="19.00499916" customWidth="1" outlineLevel="0"/>
    <col min="12" max="14" width="17.00499916" customWidth="1" outlineLevel="0"/>
  </cols>
  <sheetData>
    <row r="1" spans="1:11">
      <c r="A1" s="0" t="s">
        <v>78</v>
      </c>
      <c r="B1" s="0" t="s">
        <v>89</v>
      </c>
      <c r="C1" s="0" t="s">
        <v>85</v>
      </c>
      <c r="D1" s="0" t="s">
        <v>94</v>
      </c>
      <c r="E1" s="0" t="s">
        <v>100</v>
      </c>
      <c r="F1" s="0" t="s">
        <v>97</v>
      </c>
      <c r="G1" s="0" t="s">
        <v>98</v>
      </c>
      <c r="H1" s="0" t="s">
        <v>99</v>
      </c>
      <c r="I1" s="0" t="s">
        <v>101</v>
      </c>
      <c r="J1" s="0" t="s">
        <v>105</v>
      </c>
      <c r="K1" s="0" t="s">
        <v>106</v>
      </c>
    </row>
    <row r="2" spans="1:11">
      <c r="A2" s="0" t="s">
        <v>79</v>
      </c>
      <c r="B2" s="0">
        <v>42</v>
      </c>
      <c r="C2" s="0">
        <v>24</v>
      </c>
      <c r="D2" s="0">
        <v>30</v>
      </c>
      <c r="E2" s="0">
        <v>15</v>
      </c>
      <c r="F2" s="1">
        <f>C2-(3.45E-06*0.5*(B2/D2)*(B2*B2)*D2)*10</f>
        <v>22.721982</v>
      </c>
      <c r="G2" s="1">
        <f>C2-(3.45E-06*0.5*(B2/D2)*(B2*B2)*D2)*20</f>
        <v>21.443964</v>
      </c>
      <c r="H2" s="1">
        <f>C2-(3.45E-06*0.5*(B2/D2)*(B2*B2)*D2)*30</f>
        <v>20.165946</v>
      </c>
      <c r="I2" s="1">
        <f>B2*F2*0.06</f>
        <v>57.25939464</v>
      </c>
      <c r="J2" s="1">
        <f>B2*G2*0.06</f>
        <v>54.03878928</v>
      </c>
      <c r="K2" s="1">
        <f>B2*H2*0.06</f>
        <v>50.81818392</v>
      </c>
    </row>
    <row r="3" spans="1:11">
      <c r="A3" s="0" t="s">
        <v>80</v>
      </c>
      <c r="B3" s="0">
        <v>33</v>
      </c>
      <c r="C3" s="0">
        <v>28</v>
      </c>
      <c r="D3" s="0">
        <v>27</v>
      </c>
      <c r="E3" s="0">
        <v>12</v>
      </c>
      <c r="F3" s="1">
        <f>C3-(3.45E-06*0.5*(B3/D3)*(B3*B3)*D3)*10</f>
        <v>27.38008675</v>
      </c>
      <c r="G3" s="1">
        <f>C3-(3.45E-06*0.5*(B3/D3)*(B3*B3)*D3)*20</f>
        <v>26.7601735</v>
      </c>
      <c r="H3" s="1">
        <f>C3-(3.45E-06*0.5*(B3/D3)*(B3*B3)*D3)*30</f>
        <v>26.14026025</v>
      </c>
      <c r="I3" s="1">
        <f>B3*F3*0.06</f>
        <v>54.212571765</v>
      </c>
      <c r="J3" s="1">
        <f>B3*G3*0.06</f>
        <v>52.98514353</v>
      </c>
      <c r="K3" s="1">
        <f>B3*H3*0.06</f>
        <v>51.757715295</v>
      </c>
    </row>
    <row r="4" spans="1:11">
      <c r="A4" s="0" t="s">
        <v>81</v>
      </c>
      <c r="B4" s="0">
        <v>30</v>
      </c>
      <c r="C4" s="0">
        <v>29</v>
      </c>
      <c r="D4" s="0">
        <v>25</v>
      </c>
      <c r="E4" s="0">
        <v>10</v>
      </c>
      <c r="F4" s="1">
        <f>C4-(3.45E-06*0.5*(B4/D4)*(B4*B4)*D4)*10</f>
        <v>28.53425</v>
      </c>
      <c r="G4" s="1">
        <f>C4-(3.45E-06*0.5*(B4/D4)*(B4*B4)*D4)*20</f>
        <v>28.0685</v>
      </c>
      <c r="H4" s="1">
        <f>C4-(3.45E-06*0.5*(B4/D4)*(B4*B4)*D4)*30</f>
        <v>27.60275</v>
      </c>
      <c r="I4" s="1">
        <f>B4*F4*0.06</f>
        <v>51.36165</v>
      </c>
      <c r="J4" s="1">
        <f>B4*G4*0.06</f>
        <v>50.5233</v>
      </c>
      <c r="K4" s="1">
        <f>B4*H4*0.06</f>
        <v>49.68495</v>
      </c>
    </row>
    <row r="5" spans="1:11">
      <c r="A5" s="0" t="s">
        <v>82</v>
      </c>
      <c r="B5" s="0">
        <v>26</v>
      </c>
      <c r="C5" s="0">
        <v>31</v>
      </c>
      <c r="D5" s="0">
        <v>22</v>
      </c>
      <c r="E5" s="0">
        <v>8</v>
      </c>
      <c r="F5" s="1">
        <f>C5-(3.45E-06*0.5*(B5/D5)*(B5*B5)*D5)*10</f>
        <v>30.696814</v>
      </c>
      <c r="G5" s="1">
        <f>C5-(3.45E-06*0.5*(B5/D5)*(B5*B5)*D5)*20</f>
        <v>30.393628</v>
      </c>
      <c r="H5" s="1">
        <f>C5-(3.45E-06*0.5*(B5/D5)*(B5*B5)*D5)*30</f>
        <v>30.090442</v>
      </c>
      <c r="I5" s="1">
        <f>B5*F5*0.06</f>
        <v>47.88702984</v>
      </c>
      <c r="J5" s="1">
        <f>B5*G5*0.06</f>
        <v>47.41405968</v>
      </c>
      <c r="K5" s="1">
        <f>B5*H5*0.06</f>
        <v>46.94108952</v>
      </c>
    </row>
    <row r="6" spans="1:11">
      <c r="A6" s="0" t="s">
        <v>83</v>
      </c>
      <c r="B6" s="0">
        <v>18</v>
      </c>
      <c r="C6" s="0">
        <v>37</v>
      </c>
      <c r="D6" s="0">
        <v>18</v>
      </c>
      <c r="E6" s="0">
        <v>5</v>
      </c>
      <c r="F6" s="1">
        <f>C6-(3.45E-06*0.5*(B6/D6)*(B6*B6)*D6)*10</f>
        <v>36.899398</v>
      </c>
      <c r="G6" s="1">
        <f>C6-(3.45E-06*0.5*(B6/D6)*(B6*B6)*D6)*20</f>
        <v>36.798796</v>
      </c>
      <c r="H6" s="1">
        <f>C6-(3.45E-06*0.5*(B6/D6)*(B6*B6)*D6)*30</f>
        <v>36.698194</v>
      </c>
      <c r="I6" s="1">
        <f>B6*F6*0.06</f>
        <v>39.85134984</v>
      </c>
      <c r="J6" s="1">
        <f>B6*G6*0.06</f>
        <v>39.74269968</v>
      </c>
      <c r="K6" s="1">
        <f>B6*H6*0.06</f>
        <v>39.63404952</v>
      </c>
    </row>
  </sheetData>
  <phoneticPr fontId="1" type="noConversion"/>
  <conditionalFormatting sqref="B2:E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{7333632a-9626-2514-7333-632a96262514}</x14:id>
        </ext>
      </extLst>
    </cfRule>
  </conditionalFormatting>
  <conditionalFormatting sqref="F2:H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{efafffb6-9aba-a988-efaf-ffb69abaa988}</x14:id>
        </ext>
      </extLst>
    </cfRule>
  </conditionalFormatting>
  <conditionalFormatting sqref="I2:K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{6b2b7b32-1e3e-2dcc-6b2b-7b321e3e2dcc}</x14:id>
        </ext>
      </extLst>
    </cfRule>
  </conditionalFormatting>
  <pageMargins left="0.70" right="0.70" top="0.75" bottom="0.75" header="0.30" footer="0.30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33632a-9626-2514-7333-632a96262514}">
            <x14:dataBar minLength="0" maxLength="100" border="1" gradient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a988-efaf-ffb69abaa988}">
            <x14:dataBar minLength="0" maxLength="100" border="1" gradient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2dcc-6b2b-7b321e3e2dcc}">
            <x14:dataBar minLength="0" maxLength="100" border="1" gradient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selection activeCell="D7" sqref="D7"/>
    </sheetView>
  </sheetViews>
  <sheetFormatPr defaultRowHeight="16.500000"/>
  <cols>
    <col min="1" max="9" width="19.62999916" customWidth="1" outlineLevel="0"/>
    <col min="10" max="14" width="22.25499916" customWidth="1" outlineLevel="0"/>
  </cols>
  <sheetData>
    <row r="1" spans="1:14">
      <c r="A1" s="0" t="s">
        <v>27</v>
      </c>
      <c r="B1" s="0" t="s">
        <v>53</v>
      </c>
      <c r="C1" s="0" t="s">
        <v>107</v>
      </c>
      <c r="D1" s="0" t="s">
        <v>130</v>
      </c>
      <c r="E1" s="0" t="s">
        <v>72</v>
      </c>
      <c r="F1" s="0" t="s">
        <v>73</v>
      </c>
      <c r="G1" s="0" t="s">
        <v>74</v>
      </c>
      <c r="H1" s="0" t="s">
        <v>75</v>
      </c>
      <c r="I1" s="0" t="s">
        <v>76</v>
      </c>
      <c r="J1" s="0" t="s">
        <v>111</v>
      </c>
      <c r="K1" s="0" t="s">
        <v>115</v>
      </c>
      <c r="L1" s="0" t="s">
        <v>116</v>
      </c>
      <c r="M1" s="0" t="s">
        <v>117</v>
      </c>
      <c r="N1" s="0" t="s">
        <v>118</v>
      </c>
    </row>
    <row r="2" spans="1:14">
      <c r="A2" s="0" t="s">
        <v>68</v>
      </c>
      <c r="B2" s="0">
        <v>200</v>
      </c>
      <c r="C2" s="0">
        <v>1</v>
      </c>
      <c r="D2" s="0">
        <v>100</v>
      </c>
      <c r="E2" s="0">
        <f>B2*0.2</f>
        <v>40</v>
      </c>
      <c r="F2" s="0">
        <f>B2*0.6</f>
        <v>120</v>
      </c>
      <c r="G2" s="0">
        <f>B2*0.5</f>
        <v>100</v>
      </c>
      <c r="H2" s="0">
        <f>B2*0.3</f>
        <v>60</v>
      </c>
      <c r="I2" s="0">
        <f>B2*0.4</f>
        <v>80</v>
      </c>
      <c r="J2" s="1">
        <f>'데미지 테이블'!I2</f>
        <v>57.25939464</v>
      </c>
      <c r="K2" s="1">
        <f>'데미지 테이블'!I3</f>
        <v>54.212571765</v>
      </c>
      <c r="L2" s="1">
        <f>'데미지 테이블'!I4</f>
        <v>51.36165</v>
      </c>
      <c r="M2" s="1">
        <f>'데미지 테이블'!I5</f>
        <v>47.88702984</v>
      </c>
      <c r="N2" s="1">
        <f>'데미지 테이블'!I6</f>
        <v>39.85134984</v>
      </c>
    </row>
    <row r="3" spans="1:14">
      <c r="A3" s="0" t="s">
        <v>69</v>
      </c>
      <c r="B3" s="0">
        <v>240</v>
      </c>
      <c r="C3" s="0">
        <v>1</v>
      </c>
      <c r="D3" s="0">
        <v>120</v>
      </c>
      <c r="E3" s="0">
        <f>B3*0.2</f>
        <v>48</v>
      </c>
      <c r="F3" s="0">
        <f>B3*0.6</f>
        <v>144</v>
      </c>
      <c r="G3" s="0">
        <f>B3*0.5</f>
        <v>120</v>
      </c>
      <c r="H3" s="0">
        <f>B3*0.3</f>
        <v>72</v>
      </c>
      <c r="I3" s="0">
        <f>B3*0.4</f>
        <v>96</v>
      </c>
      <c r="J3" s="1">
        <f>'데미지 테이블'!I2</f>
        <v>57.25939464</v>
      </c>
      <c r="K3" s="1">
        <f>'데미지 테이블'!I3</f>
        <v>54.212571765</v>
      </c>
      <c r="L3" s="1">
        <f>'데미지 테이블'!I4</f>
        <v>51.36165</v>
      </c>
      <c r="M3" s="1">
        <f>'데미지 테이블'!I5</f>
        <v>47.88702984</v>
      </c>
      <c r="N3" s="1">
        <f>'데미지 테이블'!I6</f>
        <v>39.85134984</v>
      </c>
    </row>
    <row r="4" spans="1:14">
      <c r="A4" s="0" t="s">
        <v>70</v>
      </c>
      <c r="B4" s="0">
        <v>340</v>
      </c>
      <c r="C4" s="0">
        <v>2</v>
      </c>
      <c r="D4" s="0">
        <v>300</v>
      </c>
      <c r="E4" s="0">
        <f>B4*0.2</f>
        <v>68</v>
      </c>
      <c r="F4" s="0">
        <f>B4*0.6</f>
        <v>204</v>
      </c>
      <c r="G4" s="0">
        <f>B4*0.5</f>
        <v>170</v>
      </c>
      <c r="H4" s="0">
        <f>B4*0.3</f>
        <v>102</v>
      </c>
      <c r="I4" s="0">
        <f>B4*0.4</f>
        <v>136</v>
      </c>
      <c r="J4" s="1">
        <f>'데미지 테이블'!I2*('데미지 테이블'!B2/50)</f>
        <v>48.0978914976</v>
      </c>
      <c r="K4" s="1">
        <f>'데미지 테이블'!I3*('데미지 테이블'!B3/50)</f>
        <v>35.7802973649</v>
      </c>
      <c r="L4" s="1">
        <f>'데미지 테이블'!I4*('데미지 테이블'!B4/50)</f>
        <v>30.81699</v>
      </c>
      <c r="M4" s="1">
        <f>'데미지 테이블'!I5*('데미지 테이블'!B5/50)</f>
        <v>24.9012555168</v>
      </c>
      <c r="N4" s="1">
        <f>'데미지 테이블'!I6*('데미지 테이블'!B6/50)</f>
        <v>14.3464859424</v>
      </c>
    </row>
    <row r="5" spans="1:14">
      <c r="A5" s="0" t="s">
        <v>109</v>
      </c>
      <c r="B5" s="0">
        <v>370</v>
      </c>
      <c r="C5" s="0">
        <v>2</v>
      </c>
      <c r="D5" s="0">
        <v>360</v>
      </c>
      <c r="E5" s="0">
        <f>B5*0.2</f>
        <v>74</v>
      </c>
      <c r="F5" s="0">
        <f>B5*0.6</f>
        <v>222</v>
      </c>
      <c r="G5" s="0">
        <f>B5*0.5</f>
        <v>185</v>
      </c>
      <c r="H5" s="0">
        <f>B5*0.3</f>
        <v>111</v>
      </c>
      <c r="I5" s="0">
        <f>B5*0.4</f>
        <v>148</v>
      </c>
      <c r="J5" s="1">
        <f>'데미지 테이블'!I2*('데미지 테이블'!B2/50)</f>
        <v>48.0978914976</v>
      </c>
      <c r="K5" s="1">
        <f>'데미지 테이블'!I3*('데미지 테이블'!B3/50)</f>
        <v>35.7802973649</v>
      </c>
      <c r="L5" s="1">
        <f>'데미지 테이블'!I4*('데미지 테이블'!B4/50)</f>
        <v>30.81699</v>
      </c>
      <c r="M5" s="1">
        <f>'데미지 테이블'!I5*('데미지 테이블'!B5/50)</f>
        <v>24.9012555168</v>
      </c>
      <c r="N5" s="1">
        <f>'데미지 테이블'!I6*('데미지 테이블'!B6/50)</f>
        <v>14.3464859424</v>
      </c>
    </row>
    <row r="6" spans="1:14">
      <c r="A6" s="0" t="s">
        <v>110</v>
      </c>
      <c r="B6" s="0">
        <v>500</v>
      </c>
      <c r="C6" s="0">
        <v>3</v>
      </c>
      <c r="D6" s="0">
        <v>4500</v>
      </c>
      <c r="E6" s="0">
        <f>B6*0.2</f>
        <v>100</v>
      </c>
      <c r="F6" s="0">
        <f>B6*0.6</f>
        <v>300</v>
      </c>
      <c r="G6" s="0">
        <f>B6*0.5</f>
        <v>250</v>
      </c>
      <c r="H6" s="0">
        <f>B6*0.3</f>
        <v>150</v>
      </c>
      <c r="I6" s="0">
        <f>B6*0.4</f>
        <v>200</v>
      </c>
      <c r="J6" s="1">
        <f>'데미지 테이블'!I2*('데미지 테이블'!B2/60)-10</f>
        <v>30.081576248</v>
      </c>
      <c r="K6" s="1">
        <f>'데미지 테이블'!I3*('데미지 테이블'!B3/60)-10</f>
        <v>19.81691447075</v>
      </c>
      <c r="L6" s="1">
        <f>'데미지 테이블'!I4*('데미지 테이블'!B4/60)-10</f>
        <v>15.680825</v>
      </c>
      <c r="M6" s="1">
        <f>'데미지 테이블'!I5*('데미지 테이블'!B5/60)-10</f>
        <v>10.751046264</v>
      </c>
      <c r="N6" s="1">
        <f>'데미지 테이블'!I6*('데미지 테이블'!B6/60)-10</f>
        <v>1.955404952</v>
      </c>
    </row>
  </sheetData>
  <phoneticPr fontId="1" type="noConversion"/>
  <conditionalFormatting sqref="J2:N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{b4f4a4ed-c1e1-e2d3-b4f4-a4edc1e1e2d3}</x14:id>
        </ext>
      </extLst>
    </cfRule>
  </conditionalFormatting>
  <conditionalFormatting sqref="B2:B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{38782861-4d6d-6e5f-3878-28614d6d6e5f}</x14:id>
        </ext>
      </extLst>
    </cfRule>
  </conditionalFormatting>
  <conditionalFormatting sqref="E2:I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{bcfcace5-c9e9-eadb-bcfc-ace5c9e9eadb}</x14:id>
        </ext>
      </extLst>
    </cfRule>
  </conditionalFormatting>
  <pageMargins left="0.70" right="0.70" top="0.75" bottom="0.75" header="0.30" footer="0.30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f4a4ed-c1e1-e2d3-b4f4-a4edc1e1e2d3}">
            <x14:dataBar minLength="0" maxLength="100" border="1" gradient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6e5f-3878-28614d6d6e5f}">
            <x14:dataBar minLength="0" maxLength="100" border="1" gradient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eadb-bcfc-ace5c9e9eadb}">
            <x14:dataBar minLength="0" maxLength="100" border="1" gradient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I6"/>
  <sheetViews>
    <sheetView workbookViewId="0">
      <selection activeCell="J6" sqref="J6"/>
    </sheetView>
  </sheetViews>
  <sheetFormatPr defaultRowHeight="16.500000"/>
  <cols>
    <col min="1" max="11" width="21.12999916" customWidth="1" outlineLevel="0"/>
  </cols>
  <sheetData>
    <row r="1" spans="1:9">
      <c r="A1" s="0" t="s">
        <v>27</v>
      </c>
      <c r="B1" s="0" t="s">
        <v>68</v>
      </c>
      <c r="C1" s="0" t="s">
        <v>69</v>
      </c>
      <c r="D1" s="0" t="s">
        <v>70</v>
      </c>
      <c r="E1" s="0" t="s">
        <v>109</v>
      </c>
      <c r="F1" s="0" t="s">
        <v>110</v>
      </c>
      <c r="G1" s="0" t="s">
        <v>132</v>
      </c>
      <c r="H1" s="0" t="s">
        <v>133</v>
      </c>
      <c r="I1" s="0" t="s">
        <v>135</v>
      </c>
    </row>
    <row r="2" spans="1:9">
      <c r="A2" s="0" t="s">
        <v>24</v>
      </c>
      <c r="B2" s="0">
        <v>5</v>
      </c>
      <c r="C2" s="0">
        <v>5</v>
      </c>
      <c r="D2" s="0">
        <v>0</v>
      </c>
      <c r="E2" s="0">
        <v>0</v>
      </c>
      <c r="F2" s="0">
        <v>0</v>
      </c>
      <c r="G2" s="0">
        <v>1000</v>
      </c>
      <c r="H2" s="0">
        <f>B2*'적 속성 테이블'!D2+C2*'적 속성 테이블'!D3+D2*'적 속성 테이블'!D4+E2*'적 속성 테이블'!D5+F2*'적 속성 테이블'!D6+G2</f>
        <v>2100</v>
      </c>
      <c r="I2" s="0">
        <v>3</v>
      </c>
    </row>
    <row r="3" spans="1:9">
      <c r="A3" s="0" t="s">
        <v>126</v>
      </c>
      <c r="B3" s="0">
        <v>4</v>
      </c>
      <c r="C3" s="0">
        <v>4</v>
      </c>
      <c r="D3" s="0">
        <v>1</v>
      </c>
      <c r="E3" s="0">
        <v>1</v>
      </c>
      <c r="F3" s="0">
        <v>0</v>
      </c>
      <c r="G3" s="0">
        <v>2500</v>
      </c>
      <c r="H3" s="0">
        <f>B3*'적 속성 테이블'!D2+C3*'적 속성 테이블'!D3+D3*'적 속성 테이블'!D4+E3*'적 속성 테이블'!D5+F3*'적 속성 테이블'!D6+G3</f>
        <v>4040</v>
      </c>
      <c r="I3" s="0">
        <v>4</v>
      </c>
    </row>
    <row r="4" spans="1:9">
      <c r="A4" s="0" t="s">
        <v>127</v>
      </c>
      <c r="B4" s="0">
        <v>2</v>
      </c>
      <c r="C4" s="0">
        <v>2</v>
      </c>
      <c r="D4" s="0">
        <v>3</v>
      </c>
      <c r="E4" s="0">
        <v>3</v>
      </c>
      <c r="F4" s="0">
        <v>0</v>
      </c>
      <c r="G4" s="0">
        <v>4000</v>
      </c>
      <c r="H4" s="0">
        <f>B4*'적 속성 테이블'!D2+C4*'적 속성 테이블'!D3+D4*'적 속성 테이블'!D4+E4*'적 속성 테이블'!D5+F4*'적 속성 테이블'!D6+G4</f>
        <v>6420</v>
      </c>
      <c r="I4" s="0">
        <v>6</v>
      </c>
    </row>
    <row r="5" spans="1:9">
      <c r="A5" s="0" t="s">
        <v>128</v>
      </c>
      <c r="B5" s="0">
        <v>1</v>
      </c>
      <c r="C5" s="0">
        <v>1</v>
      </c>
      <c r="D5" s="0">
        <v>3</v>
      </c>
      <c r="E5" s="0">
        <v>3</v>
      </c>
      <c r="F5" s="0">
        <v>1</v>
      </c>
      <c r="G5" s="0">
        <v>7000</v>
      </c>
      <c r="H5" s="0">
        <f>B5*'적 속성 테이블'!D2+C5*'적 속성 테이블'!D3+D5*'적 속성 테이블'!D4+E5*'적 속성 테이블'!D5+F5*'적 속성 테이블'!D6+G5</f>
        <v>13700</v>
      </c>
      <c r="I5" s="0">
        <v>9</v>
      </c>
    </row>
    <row r="6" spans="1:9">
      <c r="A6" s="0" t="s">
        <v>129</v>
      </c>
      <c r="B6" s="0">
        <v>0</v>
      </c>
      <c r="C6" s="0">
        <v>0</v>
      </c>
      <c r="D6" s="0">
        <v>2</v>
      </c>
      <c r="E6" s="0">
        <v>2</v>
      </c>
      <c r="F6" s="0">
        <v>2</v>
      </c>
      <c r="G6" s="0">
        <v>12000</v>
      </c>
      <c r="H6" s="0">
        <f>B6*'적 속성 테이블'!D2+C6*'적 속성 테이블'!D3+D6*'적 속성 테이블'!D4+E6*'적 속성 테이블'!D5+F6*'적 속성 테이블'!D6+G6</f>
        <v>22320</v>
      </c>
      <c r="I6" s="0">
        <v>13</v>
      </c>
    </row>
  </sheetData>
  <phoneticPr fontId="1" type="noConversion"/>
  <conditionalFormatting sqref="H2:H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{c484d49d-b182-a3b3-c484-d49db182a3b3}</x14:id>
        </ext>
      </extLst>
    </cfRule>
  </conditionalFormatting>
  <conditionalFormatting sqref="I2:I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{49795919-3526-2737-4979-591935262737}</x14:id>
        </ext>
      </extLst>
    </cfRule>
  </conditionalFormatting>
  <pageMargins left="0.70" right="0.70" top="0.75" bottom="0.75" header="0.30" footer="0.30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84d49d-b182-a3b3-c484-d49db182a3b3}">
            <x14:dataBar minLength="0" maxLength="100" border="1" gradient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795919-3526-2737-4979-591935262737}">
            <x14:dataBar minLength="0" maxLength="100" border="1" gradient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5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강신진</dc:creator>
  <cp:lastModifiedBy>백 정열</cp:lastModifiedBy>
  <cp:version>9.104.123.46490</cp:version>
  <dcterms:modified xsi:type="dcterms:W3CDTF">2021-10-13T07:42:40Z</dcterms:modified>
</cp:coreProperties>
</file>