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13_ncr:1_{BB9FC081-3547-4402-8CD7-ABA795C8CA2B}" xr6:coauthVersionLast="46" xr6:coauthVersionMax="46" xr10:uidLastSave="{00000000-0000-0000-0000-000000000000}"/>
  <bookViews>
    <workbookView xWindow="-38520" yWindow="-120" windowWidth="38640" windowHeight="15840" tabRatio="902" xr2:uid="{E85B239D-F83C-45ED-B7E1-DA8BBBF6FCBC}"/>
  </bookViews>
  <sheets>
    <sheet name="SETUP-SHEET for 21T06 #709" sheetId="34" r:id="rId1"/>
    <sheet name="Setup_Log" sheetId="26" r:id="rId2"/>
    <sheet name="01_Aerodynamics" sheetId="7" r:id="rId3"/>
    <sheet name="02_3rd elements" sheetId="4" r:id="rId4"/>
    <sheet name="03_Anti-Roll Bars" sheetId="20" r:id="rId5"/>
    <sheet name="04_Springs" sheetId="3" r:id="rId6"/>
    <sheet name="05_Bump-stops" sheetId="9" r:id="rId7"/>
    <sheet name="06_Dampers" sheetId="5" r:id="rId8"/>
    <sheet name="07_Brakes" sheetId="2" r:id="rId9"/>
    <sheet name="08_Gearbox" sheetId="12" r:id="rId10"/>
    <sheet name="09_Differential" sheetId="15" r:id="rId11"/>
    <sheet name="10_Engine" sheetId="8" r:id="rId12"/>
    <sheet name="11_Traction Control" sheetId="14" r:id="rId13"/>
    <sheet name="12_Kinematics" sheetId="16" r:id="rId14"/>
    <sheet name="13_Ballast" sheetId="18" r:id="rId15"/>
    <sheet name="14_Bodywork" sheetId="19" r:id="rId16"/>
    <sheet name="_calculations" sheetId="10" r:id="rId17"/>
    <sheet name="_constants" sheetId="17" r:id="rId18"/>
    <sheet name="08b_Gearbox_Long-Proposal" sheetId="21" r:id="rId19"/>
    <sheet name="LoadCell" sheetId="31" r:id="rId20"/>
    <sheet name="TC_DRY" sheetId="28" r:id="rId21"/>
    <sheet name="TC_DRY (2)" sheetId="32" r:id="rId22"/>
    <sheet name="TC_WET" sheetId="30" r:id="rId23"/>
    <sheet name="Thermax" sheetId="22" r:id="rId24"/>
    <sheet name="_todo" sheetId="11" r:id="rId25"/>
    <sheet name="SETUP-SHEET_After21T03" sheetId="1" r:id="rId26"/>
    <sheet name="07_Brakes_Experiments" sheetId="33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F39" i="26"/>
  <c r="X39" i="26"/>
  <c r="W39" i="26"/>
  <c r="X36" i="26"/>
  <c r="W36" i="26"/>
  <c r="X33" i="26"/>
  <c r="W33" i="26"/>
  <c r="X30" i="26"/>
  <c r="W30" i="26"/>
  <c r="Q17" i="33" l="1"/>
  <c r="N21" i="33"/>
  <c r="H15" i="33"/>
  <c r="H24" i="33" s="1"/>
  <c r="O21" i="33"/>
  <c r="H16" i="33"/>
  <c r="H25" i="33" s="1"/>
  <c r="H28" i="33" s="1"/>
  <c r="H30" i="33" s="1"/>
  <c r="H32" i="33" s="1"/>
  <c r="U19" i="26"/>
  <c r="T19" i="26"/>
  <c r="U18" i="26"/>
  <c r="T18" i="26"/>
  <c r="X27" i="26"/>
  <c r="AD12" i="26"/>
  <c r="AD11" i="26"/>
  <c r="W27" i="26"/>
  <c r="X21" i="26"/>
  <c r="W21" i="26"/>
  <c r="X15" i="26"/>
  <c r="W15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3" i="26"/>
  <c r="W18" i="26"/>
  <c r="X18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2" i="26"/>
  <c r="W12" i="26"/>
  <c r="AH32" i="20"/>
  <c r="M33" i="1"/>
  <c r="M32" i="1"/>
  <c r="L33" i="1"/>
  <c r="L32" i="1"/>
  <c r="L34" i="1"/>
  <c r="C32" i="1"/>
  <c r="L35" i="1"/>
  <c r="C33" i="1"/>
  <c r="F35" i="1"/>
  <c r="H23" i="31" l="1"/>
  <c r="H21" i="31"/>
  <c r="W9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9" i="26"/>
  <c r="E5" i="26"/>
  <c r="E3" i="26"/>
  <c r="F33" i="26" l="1"/>
  <c r="G30" i="26"/>
  <c r="F30" i="26"/>
  <c r="G33" i="26"/>
  <c r="G36" i="26"/>
  <c r="F36" i="26"/>
  <c r="G39" i="26"/>
  <c r="G40" i="26"/>
  <c r="F40" i="26"/>
  <c r="G31" i="26"/>
  <c r="F31" i="26"/>
  <c r="G34" i="26"/>
  <c r="F34" i="26"/>
  <c r="G37" i="26"/>
  <c r="F37" i="26"/>
  <c r="F22" i="26"/>
  <c r="F28" i="26"/>
  <c r="G22" i="26"/>
  <c r="G28" i="26"/>
  <c r="F27" i="26"/>
  <c r="G21" i="26"/>
  <c r="F21" i="26"/>
  <c r="G27" i="26"/>
  <c r="G16" i="26"/>
  <c r="F16" i="26"/>
  <c r="G15" i="26"/>
  <c r="F15" i="26"/>
  <c r="F12" i="26"/>
  <c r="G12" i="26"/>
  <c r="F13" i="26"/>
  <c r="G13" i="26"/>
  <c r="K27" i="2"/>
  <c r="H30" i="2"/>
  <c r="H32" i="2" s="1"/>
  <c r="N25" i="2"/>
  <c r="N23" i="2"/>
  <c r="G9" i="26"/>
  <c r="F9" i="26"/>
  <c r="F10" i="26"/>
  <c r="G10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V39" i="7"/>
  <c r="W39" i="7"/>
  <c r="X39" i="7"/>
  <c r="Y39" i="7"/>
  <c r="Z39" i="7"/>
  <c r="AA39" i="7"/>
  <c r="AA23" i="7" s="1"/>
  <c r="AA15" i="7" s="1"/>
  <c r="AM15" i="7" s="1"/>
  <c r="U40" i="7"/>
  <c r="U24" i="7" s="1"/>
  <c r="V40" i="7"/>
  <c r="W40" i="7"/>
  <c r="X40" i="7"/>
  <c r="Y40" i="7"/>
  <c r="Z40" i="7"/>
  <c r="AA40" i="7"/>
  <c r="U41" i="7"/>
  <c r="U25" i="7" s="1"/>
  <c r="U17" i="7" s="1"/>
  <c r="AG17" i="7" s="1"/>
  <c r="V41" i="7"/>
  <c r="V25" i="7" s="1"/>
  <c r="W41" i="7"/>
  <c r="W25" i="7" s="1"/>
  <c r="AI25" i="7" s="1"/>
  <c r="X41" i="7"/>
  <c r="Y41" i="7"/>
  <c r="Z41" i="7"/>
  <c r="AA41" i="7"/>
  <c r="AA25" i="7" s="1"/>
  <c r="U42" i="7"/>
  <c r="V42" i="7"/>
  <c r="V26" i="7" s="1"/>
  <c r="V18" i="7" s="1"/>
  <c r="AH18" i="7" s="1"/>
  <c r="W42" i="7"/>
  <c r="W26" i="7" s="1"/>
  <c r="X42" i="7"/>
  <c r="Y42" i="7"/>
  <c r="Z42" i="7"/>
  <c r="AA42" i="7"/>
  <c r="V24" i="7"/>
  <c r="AH24" i="7" s="1"/>
  <c r="W24" i="7"/>
  <c r="AI24" i="7" s="1"/>
  <c r="AA24" i="7"/>
  <c r="X25" i="7"/>
  <c r="AJ25" i="7" s="1"/>
  <c r="Y26" i="7"/>
  <c r="Y18" i="7" s="1"/>
  <c r="AK18" i="7" s="1"/>
  <c r="V38" i="7"/>
  <c r="W38" i="7"/>
  <c r="X38" i="7"/>
  <c r="Y38" i="7"/>
  <c r="Z38" i="7"/>
  <c r="Z22" i="7" s="1"/>
  <c r="AA38" i="7"/>
  <c r="AA22" i="7" s="1"/>
  <c r="V22" i="7"/>
  <c r="W22" i="7"/>
  <c r="AI22" i="7" s="1"/>
  <c r="U38" i="7"/>
  <c r="AF26" i="7"/>
  <c r="AF25" i="7"/>
  <c r="AF24" i="7"/>
  <c r="AF23" i="7"/>
  <c r="AF22" i="7"/>
  <c r="AI6" i="7"/>
  <c r="AM6" i="7"/>
  <c r="AI8" i="7"/>
  <c r="AK8" i="7"/>
  <c r="AM8" i="7"/>
  <c r="AM9" i="7"/>
  <c r="AI10" i="7"/>
  <c r="AM10" i="7"/>
  <c r="AG8" i="7"/>
  <c r="AG10" i="7"/>
  <c r="AF10" i="7"/>
  <c r="AF9" i="7"/>
  <c r="AF8" i="7"/>
  <c r="AF7" i="7"/>
  <c r="AF6" i="7"/>
  <c r="AF15" i="7"/>
  <c r="AF16" i="7"/>
  <c r="AF17" i="7"/>
  <c r="AF18" i="7"/>
  <c r="AF14" i="7"/>
  <c r="U7" i="7"/>
  <c r="AG7" i="7" s="1"/>
  <c r="V7" i="7"/>
  <c r="AH7" i="7" s="1"/>
  <c r="W7" i="7"/>
  <c r="AI7" i="7" s="1"/>
  <c r="X7" i="7"/>
  <c r="AJ7" i="7" s="1"/>
  <c r="Y7" i="7"/>
  <c r="AK7" i="7" s="1"/>
  <c r="Z7" i="7"/>
  <c r="AL7" i="7" s="1"/>
  <c r="AA7" i="7"/>
  <c r="AM7" i="7" s="1"/>
  <c r="U8" i="7"/>
  <c r="V8" i="7"/>
  <c r="AH8" i="7" s="1"/>
  <c r="W8" i="7"/>
  <c r="X8" i="7"/>
  <c r="AJ8" i="7" s="1"/>
  <c r="Y8" i="7"/>
  <c r="Z8" i="7"/>
  <c r="AL8" i="7" s="1"/>
  <c r="AA8" i="7"/>
  <c r="U9" i="7"/>
  <c r="AG9" i="7" s="1"/>
  <c r="V9" i="7"/>
  <c r="AH9" i="7" s="1"/>
  <c r="W9" i="7"/>
  <c r="AI9" i="7" s="1"/>
  <c r="X9" i="7"/>
  <c r="AJ9" i="7" s="1"/>
  <c r="Y9" i="7"/>
  <c r="AK9" i="7" s="1"/>
  <c r="Z9" i="7"/>
  <c r="AL9" i="7" s="1"/>
  <c r="AA9" i="7"/>
  <c r="U10" i="7"/>
  <c r="V10" i="7"/>
  <c r="AH10" i="7" s="1"/>
  <c r="W10" i="7"/>
  <c r="X10" i="7"/>
  <c r="AJ10" i="7" s="1"/>
  <c r="Y10" i="7"/>
  <c r="AK10" i="7" s="1"/>
  <c r="Z10" i="7"/>
  <c r="AL10" i="7" s="1"/>
  <c r="AA10" i="7"/>
  <c r="V6" i="7"/>
  <c r="AH6" i="7" s="1"/>
  <c r="W6" i="7"/>
  <c r="X6" i="7"/>
  <c r="AJ6" i="7" s="1"/>
  <c r="Y6" i="7"/>
  <c r="AK6" i="7" s="1"/>
  <c r="Z6" i="7"/>
  <c r="AL6" i="7" s="1"/>
  <c r="AA6" i="7"/>
  <c r="U6" i="7"/>
  <c r="AG6" i="7" s="1"/>
  <c r="U23" i="7"/>
  <c r="U15" i="7" s="1"/>
  <c r="AG15" i="7" s="1"/>
  <c r="V23" i="7"/>
  <c r="AH23" i="7" s="1"/>
  <c r="W23" i="7"/>
  <c r="AI23" i="7" s="1"/>
  <c r="X23" i="7"/>
  <c r="AJ23" i="7" s="1"/>
  <c r="Y23" i="7"/>
  <c r="Y15" i="7" s="1"/>
  <c r="AK15" i="7" s="1"/>
  <c r="Z23" i="7"/>
  <c r="AL23" i="7" s="1"/>
  <c r="X24" i="7"/>
  <c r="AJ24" i="7" s="1"/>
  <c r="Y24" i="7"/>
  <c r="Y16" i="7" s="1"/>
  <c r="AK16" i="7" s="1"/>
  <c r="Z24" i="7"/>
  <c r="Z16" i="7" s="1"/>
  <c r="AL16" i="7" s="1"/>
  <c r="Y25" i="7"/>
  <c r="AK25" i="7" s="1"/>
  <c r="Z25" i="7"/>
  <c r="AL25" i="7" s="1"/>
  <c r="U26" i="7"/>
  <c r="AG26" i="7" s="1"/>
  <c r="X26" i="7"/>
  <c r="AJ26" i="7" s="1"/>
  <c r="Z26" i="7"/>
  <c r="Z18" i="7" s="1"/>
  <c r="AL18" i="7" s="1"/>
  <c r="AA26" i="7"/>
  <c r="AM26" i="7" s="1"/>
  <c r="X22" i="7"/>
  <c r="AJ22" i="7" s="1"/>
  <c r="Y22" i="7"/>
  <c r="AK22" i="7" s="1"/>
  <c r="U22" i="7"/>
  <c r="U14" i="7" s="1"/>
  <c r="AG14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L17" i="7" s="1"/>
  <c r="AL26" i="7"/>
  <c r="AK24" i="7"/>
  <c r="AM24" i="7"/>
  <c r="AA16" i="7"/>
  <c r="AM16" i="7" s="1"/>
  <c r="AM25" i="7"/>
  <c r="AA17" i="7"/>
  <c r="AM17" i="7" s="1"/>
  <c r="Y17" i="7"/>
  <c r="AK17" i="7" s="1"/>
  <c r="W15" i="7"/>
  <c r="AI15" i="7" s="1"/>
  <c r="AL24" i="7"/>
  <c r="X15" i="7"/>
  <c r="AJ15" i="7" s="1"/>
  <c r="AA18" i="7"/>
  <c r="AM18" i="7" s="1"/>
  <c r="X16" i="7"/>
  <c r="AJ16" i="7" s="1"/>
  <c r="AK23" i="7"/>
  <c r="U18" i="7"/>
  <c r="AG18" i="7" s="1"/>
  <c r="Z15" i="7"/>
  <c r="AL15" i="7" s="1"/>
  <c r="AI26" i="7"/>
  <c r="W18" i="7"/>
  <c r="AI18" i="7" s="1"/>
  <c r="V17" i="7"/>
  <c r="AH17" i="7" s="1"/>
  <c r="AH25" i="7"/>
  <c r="U16" i="7"/>
  <c r="AG16" i="7" s="1"/>
  <c r="AG24" i="7"/>
  <c r="AM23" i="7"/>
  <c r="AK26" i="7"/>
  <c r="X17" i="7"/>
  <c r="AJ17" i="7" s="1"/>
  <c r="W16" i="7"/>
  <c r="AI16" i="7" s="1"/>
  <c r="V15" i="7"/>
  <c r="AH15" i="7" s="1"/>
  <c r="AG23" i="7"/>
  <c r="AG25" i="7"/>
  <c r="X18" i="7"/>
  <c r="AJ18" i="7" s="1"/>
  <c r="W17" i="7"/>
  <c r="AI17" i="7" s="1"/>
  <c r="V16" i="7"/>
  <c r="AH16" i="7" s="1"/>
  <c r="AH26" i="7"/>
  <c r="Y14" i="7"/>
  <c r="AK14" i="7" s="1"/>
  <c r="AL22" i="7"/>
  <c r="Z14" i="7"/>
  <c r="AL14" i="7" s="1"/>
  <c r="AA14" i="7"/>
  <c r="AM14" i="7" s="1"/>
  <c r="AM22" i="7"/>
  <c r="AH22" i="7"/>
  <c r="V14" i="7"/>
  <c r="AH14" i="7" s="1"/>
  <c r="X14" i="7"/>
  <c r="AJ14" i="7" s="1"/>
  <c r="W14" i="7"/>
  <c r="AI14" i="7" s="1"/>
  <c r="AG22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31" i="20"/>
  <c r="AI32" i="20" s="1"/>
  <c r="AH33" i="20"/>
  <c r="AI34" i="20" s="1"/>
  <c r="AH34" i="20"/>
  <c r="AH35" i="20"/>
  <c r="AH36" i="20"/>
  <c r="AI36" i="20" s="1"/>
  <c r="AH37" i="20"/>
  <c r="AH38" i="20"/>
  <c r="AH39" i="20"/>
  <c r="AI40" i="20" s="1"/>
  <c r="AH40" i="20"/>
  <c r="AH41" i="20"/>
  <c r="AI41" i="20" s="1"/>
  <c r="AH42" i="20"/>
  <c r="AH43" i="20"/>
  <c r="AI43" i="20" s="1"/>
  <c r="AH44" i="20"/>
  <c r="AI44" i="20" s="1"/>
  <c r="AI35" i="20"/>
  <c r="AH30" i="20"/>
  <c r="AG44" i="20"/>
  <c r="AG43" i="20"/>
  <c r="AG42" i="20"/>
  <c r="AG41" i="20"/>
  <c r="AG40" i="20"/>
  <c r="AG39" i="20"/>
  <c r="AG38" i="20"/>
  <c r="AG37" i="20"/>
  <c r="AG36" i="20"/>
  <c r="AG35" i="20"/>
  <c r="AG34" i="20"/>
  <c r="AI33" i="20"/>
  <c r="AG33" i="20"/>
  <c r="AG32" i="20"/>
  <c r="AG31" i="20"/>
  <c r="AF12" i="20"/>
  <c r="AF13" i="20" s="1"/>
  <c r="AF14" i="20" s="1"/>
  <c r="AF11" i="20"/>
  <c r="AH11" i="20"/>
  <c r="AH10" i="20"/>
  <c r="AE14" i="20"/>
  <c r="AE13" i="20"/>
  <c r="AE12" i="20"/>
  <c r="AG11" i="20"/>
  <c r="AE11" i="20"/>
  <c r="K24" i="20"/>
  <c r="K22" i="20"/>
  <c r="K17" i="20"/>
  <c r="K16" i="20"/>
  <c r="K9" i="20"/>
  <c r="E37" i="20" l="1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42" i="20"/>
  <c r="AI38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39" i="20"/>
  <c r="AI31" i="20"/>
  <c r="AI37" i="20"/>
  <c r="AH12" i="20"/>
  <c r="AI12" i="20" s="1"/>
  <c r="AG12" i="20"/>
  <c r="AI11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H13" i="20" l="1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6" i="3"/>
  <c r="H15" i="3"/>
  <c r="H14" i="3"/>
  <c r="H13" i="3"/>
  <c r="H12" i="3"/>
  <c r="H11" i="3"/>
  <c r="H10" i="3"/>
  <c r="H9" i="3"/>
  <c r="O8" i="3"/>
  <c r="I20" i="3" s="1"/>
  <c r="J20" i="3" s="1"/>
  <c r="L20" i="3" s="1"/>
  <c r="H8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I8" i="3" l="1"/>
  <c r="J8" i="3" s="1"/>
  <c r="L8" i="3" s="1"/>
  <c r="I12" i="3"/>
  <c r="J12" i="3" s="1"/>
  <c r="L12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4" i="3"/>
  <c r="J14" i="3" s="1"/>
  <c r="L14" i="3" s="1"/>
  <c r="I9" i="3"/>
  <c r="J9" i="3" s="1"/>
  <c r="L9" i="3" s="1"/>
  <c r="I15" i="3"/>
  <c r="J15" i="3" s="1"/>
  <c r="L15" i="3" s="1"/>
  <c r="I13" i="3"/>
  <c r="J13" i="3" s="1"/>
  <c r="L13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19" i="3"/>
  <c r="J19" i="3" s="1"/>
  <c r="L19" i="3" s="1"/>
  <c r="I26" i="3"/>
  <c r="J26" i="3" s="1"/>
  <c r="L26" i="3" s="1"/>
  <c r="I4" i="3"/>
  <c r="J4" i="3" s="1"/>
  <c r="L4" i="3" s="1"/>
  <c r="I24" i="3"/>
  <c r="J24" i="3" s="1"/>
  <c r="L24" i="3" s="1"/>
  <c r="I11" i="3"/>
  <c r="J11" i="3" s="1"/>
  <c r="I18" i="3"/>
  <c r="I23" i="3"/>
  <c r="J23" i="3" s="1"/>
  <c r="L23" i="3" s="1"/>
  <c r="I27" i="3"/>
  <c r="J27" i="3" s="1"/>
  <c r="L27" i="3" s="1"/>
  <c r="I25" i="3"/>
  <c r="J25" i="3" s="1"/>
  <c r="L25" i="3" s="1"/>
  <c r="I10" i="3"/>
  <c r="J10" i="3" s="1"/>
  <c r="L10" i="3" s="1"/>
  <c r="I30" i="3"/>
  <c r="J30" i="3" s="1"/>
  <c r="L30" i="3" s="1"/>
  <c r="I22" i="3"/>
  <c r="J22" i="3" s="1"/>
  <c r="L22" i="3" s="1"/>
  <c r="I29" i="3"/>
  <c r="J29" i="3" s="1"/>
  <c r="L29" i="3" s="1"/>
  <c r="I21" i="3"/>
  <c r="I16" i="3"/>
  <c r="J16" i="3" s="1"/>
  <c r="L16" i="3" s="1"/>
  <c r="I28" i="3"/>
  <c r="J28" i="3" s="1"/>
  <c r="L28" i="3" s="1"/>
  <c r="D54" i="15"/>
  <c r="G54" i="15" s="1"/>
  <c r="C51" i="15"/>
  <c r="J21" i="3" l="1"/>
  <c r="L21" i="3" s="1"/>
  <c r="J18" i="3"/>
  <c r="L18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8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<sst xmlns="http://schemas.openxmlformats.org/spreadsheetml/2006/main" count="1481" uniqueCount="688">
  <si>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</si>
  <si>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</si>
  <si>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</si>
  <si>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</si>
  <si>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</si>
  <si>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</si>
  <si>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</si>
  <si>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</si>
  <si>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</si>
  <si>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</si>
  <si>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</si>
  <si>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</si>
  <si>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</si>
  <si>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</si>
  <si>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</si>
  <si>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</si>
  <si>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</si>
  <si>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</si>
  <si>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</si>
  <si>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</si>
  <si>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</si>
  <si>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</si>
  <si>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</si>
  <si>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</si>
  <si>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</si>
  <si>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</si>
  <si>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</si>
  <si>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</si>
  <si>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</si>
  <si>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</si>
  <si>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</si>
  <si>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</si>
  <si>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</si>
  <si>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</si>
  <si>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</si>
  <si>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</si>
  <si>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</si>
  <si>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</si>
  <si>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</si>
  <si>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</si>
  <si>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</si>
  <si>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</si>
  <si>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</si>
  <si>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</si>
  <si>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</si>
  <si>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</si>
  <si>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</si>
  <si>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</si>
  <si>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</si>
  <si>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</si>
  <si>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</si>
  <si>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</si>
  <si>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</si>
  <si>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</si>
  <si>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</si>
  <si>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</si>
  <si>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</si>
  <si>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</si>
  <si>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</si>
  <si>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</si>
  <si>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</si>
  <si>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</si>
  <si>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</si>
  <si>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</si>
  <si>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</si>
  <si>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</si>
  <si>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</si>
  <si>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</si>
  <si>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</si>
  <si>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</si>
  <si>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</si>
  <si>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</si>
  <si>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</si>
  <si>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</si>
  <si>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</si>
  <si>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</si>
  <si>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</si>
  <si>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</si>
  <si>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</si>
  <si>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</si>
  <si>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</si>
  <si>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</si>
  <si>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</si>
  <si>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</si>
  <si>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</si>
  <si>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</si>
  <si>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</si>
  <si>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</si>
  <si>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</si>
  <si>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</si>
  <si>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</si>
  <si>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</si>
  <si>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</si>
  <si>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</si>
  <si>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</si>
  <si>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</si>
  <si>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</si>
  <si>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</si>
  <si>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</si>
  <si>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</si>
  <si>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</si>
  <si>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</si>
  <si>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</si>
  <si>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</si>
  <si>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</si>
  <si>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</si>
  <si>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</si>
  <si>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</si>
  <si>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</si>
  <si>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</si>
  <si>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</si>
  <si>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</si>
  <si>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</si>
  <si>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</si>
  <si>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</si>
  <si>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</si>
  <si>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</si>
  <si>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</si>
  <si>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</si>
  <si>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</si>
  <si>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</si>
  <si>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</si>
  <si>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</si>
  <si>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</si>
  <si>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</si>
  <si>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</si>
  <si>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</si>
  <si>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</si>
  <si>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</si>
  <si>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</si>
  <si>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</si>
  <si>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</si>
  <si>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</si>
  <si>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</si>
  <si>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</si>
  <si>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</si>
  <si>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</si>
  <si>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</si>
  <si>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</si>
  <si>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</si>
  <si>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</si>
  <si>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</si>
  <si>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</si>
  <si>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</si>
  <si>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</si>
  <si>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</si>
  <si>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</si>
  <si>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</si>
  <si>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</si>
  <si>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</si>
  <si>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</si>
  <si>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</si>
  <si>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</si>
  <si>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</si>
  <si>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</si>
  <si>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</si>
  <si>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</si>
  <si>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</si>
  <si>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</si>
  <si>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</si>
  <si>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</si>
  <si>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</si>
  <si>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</si>
  <si>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</si>
  <si>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</si>
  <si>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</si>
  <si>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</si>
  <si>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</si>
  <si>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</si>
  <si>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</si>
  <si>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</si>
  <si>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</si>
  <si>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</si>
  <si>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</si>
  <si>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</si>
  <si>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</si>
  <si>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</si>
  <si>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</si>
  <si>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</si>
  <si>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</si>
  <si>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</si>
  <si>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</si>
  <si>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</si>
  <si>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</si>
  <si>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</si>
  <si>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</si>
  <si>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</si>
  <si>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</si>
  <si>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</si>
  <si>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</si>
  <si>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</si>
  <si>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</si>
  <si>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</si>
  <si>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</si>
  <si>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</si>
  <si>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</si>
  <si>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</si>
  <si>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</si>
  <si>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</si>
  <si>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</si>
  <si>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</si>
  <si>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</si>
  <si>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</si>
  <si>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</si>
  <si>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</si>
  <si>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</si>
  <si>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</si>
  <si>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</si>
  <si>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</si>
  <si>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</si>
  <si>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</si>
  <si>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</si>
  <si>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</si>
  <si>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</si>
  <si>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</si>
  <si>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</si>
  <si>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</si>
  <si>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</si>
  <si>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</si>
  <si>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</si>
  <si>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</si>
  <si>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</si>
  <si>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</si>
  <si>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</si>
  <si>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</si>
  <si>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</si>
  <si>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</si>
  <si>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</si>
  <si>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</si>
  <si>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</si>
  <si>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</si>
  <si>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</si>
  <si>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</si>
  <si>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</si>
  <si>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</si>
  <si>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</si>
  <si>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</si>
  <si>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</si>
  <si>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</si>
  <si>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</si>
  <si>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</si>
  <si>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</si>
  <si>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</si>
  <si>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</si>
  <si>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</si>
  <si>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</si>
  <si>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</si>
  <si>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</si>
  <si>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</si>
  <si>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</si>
  <si>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</si>
  <si>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</si>
  <si>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</si>
  <si>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</si>
  <si>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</si>
  <si>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</si>
  <si>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</si>
  <si>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</si>
  <si>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</si>
  <si>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</si>
  <si>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</si>
  <si>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</si>
  <si>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</si>
  <si>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</si>
  <si>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</si>
  <si>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</si>
  <si>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</si>
  <si>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</si>
  <si>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</si>
  <si>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</si>
  <si>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</si>
  <si>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</si>
  <si>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</si>
  <si>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</si>
  <si>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</si>
  <si>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</si>
  <si>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</si>
  <si>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</si>
  <si>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</si>
  <si>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</si>
  <si>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</si>
  <si>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</si>
  <si>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</si>
  <si>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</si>
  <si>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</si>
  <si>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</si>
  <si>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</si>
  <si>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</si>
  <si>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</si>
  <si>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</si>
  <si>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</si>
  <si>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</si>
  <si>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</si>
  <si>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</si>
  <si>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</si>
  <si>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</si>
  <si>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</si>
  <si>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</si>
  <si>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</si>
  <si>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</si>
  <si>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</si>
  <si>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</si>
  <si>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</si>
  <si>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</si>
  <si>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</si>
  <si>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</si>
  <si>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</si>
  <si>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</si>
  <si>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</si>
  <si>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</si>
  <si>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</si>
  <si>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</si>
  <si>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</si>
  <si>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</si>
  <si>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</si>
  <si>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</si>
  <si>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</si>
  <si>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</si>
  <si>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</si>
  <si>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</si>
  <si>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</si>
  <si>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</si>
  <si>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</si>
  <si>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</si>
  <si>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</si>
  <si>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</si>
  <si>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</si>
  <si>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</si>
  <si>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</si>
  <si>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</si>
  <si>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</si>
  <si>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</si>
  <si>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</si>
  <si>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</si>
  <si>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</si>
  <si>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</si>
  <si>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</si>
  <si>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</si>
  <si>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</si>
  <si>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</si>
  <si>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</si>
  <si>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</si>
  <si>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</si>
  <si>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</si>
  <si>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</si>
  <si>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</si>
  <si>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</si>
  <si>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</si>
  <si>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</si>
  <si>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</si>
  <si>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</si>
  <si>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</si>
  <si>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</si>
  <si>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</si>
  <si>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</si>
  <si>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</si>
  <si>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</si>
  <si>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</si>
  <si>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</si>
  <si>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</si>
  <si>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</si>
  <si>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</si>
  <si>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</si>
  <si>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</si>
  <si>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</si>
  <si>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</si>
  <si>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</si>
  <si>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</si>
  <si>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</si>
  <si>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</si>
  <si>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</si>
  <si>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</si>
  <si>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</si>
  <si>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</si>
  <si>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</si>
  <si>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</si>
  <si>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</si>
  <si>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</si>
  <si>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</si>
  <si>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</si>
  <si>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</si>
  <si>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</si>
  <si>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</si>
  <si>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</si>
  <si>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</si>
  <si>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</si>
  <si>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</si>
  <si>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</si>
  <si>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</si>
  <si>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</si>
  <si>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</si>
  <si>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</si>
  <si>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</si>
  <si>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</si>
  <si>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</si>
  <si>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</si>
  <si>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</si>
  <si>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</si>
  <si>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</si>
  <si>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</si>
  <si>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</si>
  <si>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</si>
  <si>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</si>
  <si>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</si>
  <si>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</si>
  <si>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</si>
  <si>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</si>
  <si>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</si>
  <si>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</si>
  <si>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</si>
  <si>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</si>
  <si>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</si>
  <si>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</si>
  <si>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</si>
  <si>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</si>
  <si>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</si>
  <si>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</si>
  <si>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</si>
  <si>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</si>
  <si>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</si>
  <si>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</si>
  <si>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</si>
  <si>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</si>
  <si>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</si>
  <si>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</si>
  <si>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</si>
  <si>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</si>
  <si>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</si>
  <si>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</si>
  <si>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</si>
  <si>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</si>
  <si>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</si>
  <si>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</si>
  <si>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</si>
  <si>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</si>
  <si>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</si>
  <si>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</si>
  <si>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</si>
  <si>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</si>
  <si>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</si>
  <si>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</si>
  <si>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</si>
  <si>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</si>
  <si>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</si>
  <si>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</si>
  <si>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</si>
  <si>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</si>
  <si>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</si>
  <si>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</si>
  <si>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</si>
  <si>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</si>
  <si>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O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</si>
  <si>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</si>
  <si>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</si>
  <si>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</si>
  <si>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</si>
  <si>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</si>
  <si>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</si>
  <si>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</si>
  <si>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</si>
  <si>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</si>
  <si>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</si>
  <si>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</si>
  <si>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</si>
  <si>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</si>
  <si>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</si>
  <si>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</si>
  <si>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</si>
  <si>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</si>
  <si>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</si>
  <si>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</si>
  <si>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</si>
  <si>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</si>
  <si>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</si>
  <si>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</si>
  <si>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</si>
  <si>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</si>
  <si>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</si>
  <si>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</si>
  <si>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</si>
  <si>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</si>
  <si>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</si>
  <si>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</si>
  <si>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</si>
  <si>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</si>
  <si>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</si>
  <si>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</si>
  <si>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</si>
  <si>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</si>
  <si>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</si>
  <si>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</si>
  <si>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</si>
  <si>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</si>
  <si>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</si>
  <si>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</si>
  <si>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</si>
  <si>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</si>
  <si>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</si>
  <si>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</si>
  <si>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</si>
  <si>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</si>
  <si>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</si>
  <si>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</si>
  <si>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</si>
  <si>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</si>
  <si>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</si>
  <si>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</si>
  <si>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</si>
  <si>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</si>
  <si>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</si>
  <si>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</si>
  <si>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</si>
  <si>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</si>
  <si>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</si>
  <si>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</si>
  <si>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</si>
  <si>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</si>
  <si>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</si>
  <si>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</si>
  <si>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</si>
  <si>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</si>
  <si>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</si>
  <si>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</si>
  <si>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</si>
  <si>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</si>
  <si>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</si>
  <si>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</si>
  <si>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</si>
  <si>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</si>
  <si>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</si>
  <si>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</si>
  <si>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</si>
  <si>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</si>
  <si>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</si>
  <si>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</si>
  <si>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</si>
  <si>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</si>
  <si>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</si>
  <si>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</si>
  <si>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</si>
  <si>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</si>
  <si>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</si>
  <si>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</si>
  <si>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</si>
  <si>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</si>
  <si>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</si>
  <si>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</si>
  <si>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</si>
  <si>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</si>
  <si>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</si>
  <si>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</si>
  <si>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</si>
  <si>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</si>
  <si>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</si>
  <si>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</si>
  <si>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</si>
  <si>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</si>
  <si>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</si>
  <si>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</si>
  <si>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</si>
  <si>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</si>
  <si>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</si>
  <si>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</si>
  <si>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</si>
  <si>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</si>
  <si>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</si>
  <si>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</si>
  <si>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</si>
  <si>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</si>
  <si>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</si>
  <si>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</si>
  <si>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</si>
  <si>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</si>
  <si>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</si>
  <si>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</si>
  <si>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</si>
  <si>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</si>
  <si>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</si>
  <si>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</si>
  <si>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</si>
  <si>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</si>
  <si>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</si>
  <si>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</si>
  <si>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</si>
  <si>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</si>
  <si>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</si>
  <si>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</si>
  <si>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</si>
  <si>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</si>
  <si>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</si>
  <si>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</si>
  <si>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</si>
  <si>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</si>
  <si>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</si>
  <si>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</si>
  <si>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</si>
  <si>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</si>
  <si>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</si>
  <si>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</si>
  <si>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</si>
  <si>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</si>
  <si>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</si>
  <si>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</si>
  <si>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</si>
  <si>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</si>
  <si>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</si>
  <si>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</si>
  <si>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</si>
  <si>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</si>
  <si>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</si>
  <si>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</si>
  <si>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</si>
  <si>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</si>
  <si>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</si>
  <si>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</si>
  <si>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</si>
  <si>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</si>
  <si>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</si>
  <si>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</si>
  <si>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</si>
  <si>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</si>
  <si>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</si>
  <si>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</si>
  <si>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</si>
  <si>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</si>
  <si>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</si>
  <si>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</si>
  <si>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</si>
  <si>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</si>
  <si>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</si>
  <si>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soft (35.4 Nm/deg)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</si>
  <si>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</si>
  <si>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</si>
  <si>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</si>
  <si>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t>bar 3 (hard/red)</t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</si>
  <si>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</si>
  <si>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</si>
  <si>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</si>
  <si>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</si>
  <si>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</si>
  <si>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</si>
  <si>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</si>
  <si>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</si>
  <si>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</si>
  <si>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</si>
  <si>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</si>
  <si>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</si>
  <si>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</si>
  <si>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</si>
  <si>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</si>
  <si>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</si>
  <si>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</si>
  <si>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</si>
  <si>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</si>
  <si>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</si>
  <si>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</si>
  <si>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</si>
  <si>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</si>
  <si>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</si>
  <si>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</si>
  <si>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</si>
  <si>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</si>
  <si>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75 Nm (XX bar air)</t>
  </si>
  <si>
    <t>Left</t>
  </si>
  <si>
    <t>Rest pedal position</t>
  </si>
  <si>
    <t>007C #709</t>
  </si>
  <si>
    <t>0 Front, 0 Rear</t>
  </si>
  <si>
    <t>Heel rest</t>
  </si>
  <si>
    <t>BoP power (kW)</t>
  </si>
  <si>
    <t>Type 3</t>
  </si>
  <si>
    <t>3-Soft (outward)</t>
  </si>
  <si>
    <t>2.5 Turns (middle)</t>
  </si>
  <si>
    <t>Steering wheel spacer</t>
  </si>
  <si>
    <t>0400.200.950</t>
  </si>
  <si>
    <r>
      <t xml:space="preserve">9Hz (@ </t>
    </r>
    <r>
      <rPr>
        <b/>
        <sz val="11"/>
        <rFont val="Calibri"/>
        <family val="2"/>
        <scheme val="minor"/>
      </rPr>
      <t>43.35</t>
    </r>
    <r>
      <rPr>
        <sz val="11"/>
        <rFont val="Calibri"/>
        <family val="2"/>
        <scheme val="minor"/>
      </rPr>
      <t>)</t>
    </r>
  </si>
  <si>
    <r>
      <t xml:space="preserve">6Hz (@ </t>
    </r>
    <r>
      <rPr>
        <b/>
        <sz val="10"/>
        <rFont val="Calibri"/>
        <family val="2"/>
        <scheme val="minor"/>
      </rPr>
      <t>24.4)</t>
    </r>
  </si>
  <si>
    <r>
      <t xml:space="preserve">16.4 + </t>
    </r>
    <r>
      <rPr>
        <b/>
        <sz val="10"/>
        <color theme="1"/>
        <rFont val="Calibri"/>
        <family val="2"/>
        <scheme val="minor"/>
      </rPr>
      <t>25.4</t>
    </r>
  </si>
  <si>
    <r>
      <t>01262S-70 (</t>
    </r>
    <r>
      <rPr>
        <b/>
        <sz val="10"/>
        <rFont val="Calibri"/>
        <family val="2"/>
        <scheme val="minor"/>
      </rPr>
      <t>50</t>
    </r>
    <r>
      <rPr>
        <sz val="10"/>
        <rFont val="Calibri"/>
        <family val="2"/>
        <scheme val="minor"/>
      </rPr>
      <t>)</t>
    </r>
  </si>
  <si>
    <r>
      <t>01262S-70 (</t>
    </r>
    <r>
      <rPr>
        <b/>
        <sz val="10"/>
        <color theme="1"/>
        <rFont val="Calibri"/>
        <family val="2"/>
        <scheme val="minor"/>
      </rPr>
      <t>35.7</t>
    </r>
    <r>
      <rPr>
        <sz val="10"/>
        <color theme="1"/>
        <rFont val="Calibri"/>
        <family val="2"/>
        <scheme val="minor"/>
      </rPr>
      <t>)</t>
    </r>
  </si>
  <si>
    <t>#9</t>
  </si>
  <si>
    <t>#4</t>
  </si>
  <si>
    <t>13.5 + 6.75</t>
  </si>
  <si>
    <t>from type 1</t>
  </si>
  <si>
    <t>from type 2</t>
  </si>
  <si>
    <t>from type 3</t>
  </si>
  <si>
    <t>from type 4</t>
  </si>
  <si>
    <r>
      <t xml:space="preserve">9.7 + </t>
    </r>
    <r>
      <rPr>
        <b/>
        <sz val="10"/>
        <color rgb="FFFF00FF"/>
        <rFont val="Calibri"/>
        <family val="2"/>
        <scheme val="minor"/>
      </rPr>
      <t>9</t>
    </r>
    <r>
      <rPr>
        <sz val="10"/>
        <color theme="1"/>
        <rFont val="Calibri"/>
        <family val="2"/>
        <scheme val="minor"/>
      </rPr>
      <t xml:space="preserve"> + </t>
    </r>
    <r>
      <rPr>
        <b/>
        <sz val="10"/>
        <color theme="1"/>
        <rFont val="Calibri"/>
        <family val="2"/>
        <scheme val="minor"/>
      </rPr>
      <t>25.4</t>
    </r>
  </si>
  <si>
    <t>ARA21T06 (Matt copy)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</si>
</sst>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10"/>
      <color rgb="FFFF00FF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1034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164" fontId="20" fillId="0" borderId="0" xfId="0" applyNumberFormat="1" applyFon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20" fillId="0" borderId="0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13" fillId="0" borderId="24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9" xfId="0" quotePrefix="1" applyFont="1" applyBorder="1" applyAlignment="1">
      <alignment horizontal="center"/>
    </xf>
    <xf numFmtId="0" fontId="13" fillId="0" borderId="30" xfId="0" quotePrefix="1" applyFont="1" applyBorder="1" applyAlignment="1">
      <alignment horizontal="center"/>
    </xf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52" fillId="11" borderId="29" xfId="0" applyFont="1" applyFill="1" applyBorder="1" applyAlignment="1">
      <alignment horizontal="center" vertical="center"/>
    </xf>
    <xf numFmtId="0" fontId="52" fillId="11" borderId="29" xfId="0" applyFont="1" applyFill="1" applyBorder="1" applyAlignment="1">
      <alignment horizontal="center"/>
    </xf>
    <xf numFmtId="0" fontId="52" fillId="11" borderId="21" xfId="0" applyFont="1" applyFill="1" applyBorder="1" applyAlignment="1">
      <alignment horizontal="center"/>
    </xf>
    <xf numFmtId="0" fontId="52" fillId="11" borderId="30" xfId="0" applyFont="1" applyFill="1" applyBorder="1" applyAlignment="1">
      <alignment horizontal="center"/>
    </xf>
    <xf numFmtId="0" fontId="52" fillId="0" borderId="21" xfId="0" applyFont="1" applyFill="1" applyBorder="1" applyAlignment="1">
      <alignment horizontal="center"/>
    </xf>
    <xf numFmtId="0" fontId="52" fillId="0" borderId="22" xfId="0" applyFont="1" applyFill="1" applyBorder="1" applyAlignment="1">
      <alignment horizontal="center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9" fillId="0" borderId="39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3" fillId="0" borderId="55" xfId="0" applyFont="1" applyBorder="1" applyAlignment="1">
      <alignment horizontal="center"/>
    </xf>
    <xf numFmtId="0" fontId="53" fillId="0" borderId="0" xfId="0" applyFont="1" applyBorder="1" applyAlignment="1">
      <alignment horizontal="center"/>
    </xf>
    <xf numFmtId="0" fontId="53" fillId="0" borderId="136" xfId="0" applyFont="1" applyBorder="1" applyAlignment="1">
      <alignment horizontal="center"/>
    </xf>
    <xf numFmtId="0" fontId="53" fillId="0" borderId="56" xfId="0" applyFont="1" applyBorder="1" applyAlignment="1">
      <alignment horizontal="center"/>
    </xf>
    <xf numFmtId="0" fontId="53" fillId="0" borderId="53" xfId="0" applyFont="1" applyBorder="1" applyAlignment="1">
      <alignment horizontal="center"/>
    </xf>
    <xf numFmtId="0" fontId="53" fillId="0" borderId="137" xfId="0" applyFont="1" applyBorder="1" applyAlignment="1">
      <alignment horizontal="center"/>
    </xf>
    <xf numFmtId="0" fontId="53" fillId="9" borderId="0" xfId="0" applyFont="1" applyFill="1" applyBorder="1"/>
    <xf numFmtId="0" fontId="53" fillId="0" borderId="51" xfId="0" applyFont="1" applyBorder="1" applyAlignment="1">
      <alignment horizontal="center"/>
    </xf>
    <xf numFmtId="0" fontId="53" fillId="9" borderId="44" xfId="0" applyFont="1" applyFill="1" applyBorder="1"/>
    <xf numFmtId="0" fontId="53" fillId="9" borderId="46" xfId="0" applyFont="1" applyFill="1" applyBorder="1"/>
    <xf numFmtId="0" fontId="53" fillId="0" borderId="46" xfId="0" applyFont="1" applyBorder="1"/>
    <xf numFmtId="0" fontId="53" fillId="9" borderId="56" xfId="0" applyFont="1" applyFill="1" applyBorder="1"/>
    <xf numFmtId="0" fontId="53" fillId="9" borderId="53" xfId="0" applyFont="1" applyFill="1" applyBorder="1"/>
    <xf numFmtId="0" fontId="53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5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7" fillId="0" borderId="11" xfId="0" applyFont="1" applyBorder="1" applyAlignment="1">
      <alignment horizontal="center"/>
    </xf>
    <xf numFmtId="0" fontId="57" fillId="0" borderId="15" xfId="0" applyFont="1" applyBorder="1" applyAlignment="1">
      <alignment horizontal="center"/>
    </xf>
    <xf numFmtId="0" fontId="56" fillId="0" borderId="124" xfId="0" applyFont="1" applyBorder="1" applyAlignment="1">
      <alignment horizontal="center"/>
    </xf>
    <xf numFmtId="0" fontId="56" fillId="0" borderId="98" xfId="0" applyFont="1" applyBorder="1" applyAlignment="1">
      <alignment horizontal="center"/>
    </xf>
    <xf numFmtId="0" fontId="56" fillId="0" borderId="3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8" fillId="0" borderId="98" xfId="0" applyFont="1" applyBorder="1" applyAlignment="1">
      <alignment horizontal="center"/>
    </xf>
    <xf numFmtId="0" fontId="58" fillId="0" borderId="66" xfId="0" applyFont="1" applyBorder="1" applyAlignment="1">
      <alignment horizontal="center"/>
    </xf>
    <xf numFmtId="0" fontId="58" fillId="0" borderId="65" xfId="0" applyFont="1" applyBorder="1" applyAlignment="1">
      <alignment horizontal="center"/>
    </xf>
    <xf numFmtId="0" fontId="58" fillId="0" borderId="98" xfId="0" quotePrefix="1" applyFont="1" applyBorder="1" applyAlignment="1">
      <alignment horizontal="center"/>
    </xf>
    <xf numFmtId="0" fontId="58" fillId="0" borderId="66" xfId="0" quotePrefix="1" applyFont="1" applyBorder="1" applyAlignment="1">
      <alignment horizontal="center"/>
    </xf>
    <xf numFmtId="0" fontId="58" fillId="0" borderId="40" xfId="0" applyFont="1" applyBorder="1" applyAlignment="1">
      <alignment horizontal="center"/>
    </xf>
    <xf numFmtId="0" fontId="58" fillId="0" borderId="19" xfId="0" applyFont="1" applyBorder="1" applyAlignment="1">
      <alignment horizontal="center"/>
    </xf>
    <xf numFmtId="0" fontId="58" fillId="0" borderId="70" xfId="0" quotePrefix="1" applyFont="1" applyBorder="1" applyAlignment="1">
      <alignment horizontal="center"/>
    </xf>
    <xf numFmtId="0" fontId="58" fillId="0" borderId="40" xfId="0" quotePrefix="1" applyFont="1" applyBorder="1" applyAlignment="1">
      <alignment horizontal="center"/>
    </xf>
    <xf numFmtId="0" fontId="58" fillId="0" borderId="70" xfId="0" applyFont="1" applyBorder="1" applyAlignment="1">
      <alignment horizontal="center"/>
    </xf>
    <xf numFmtId="2" fontId="57" fillId="0" borderId="98" xfId="0" applyNumberFormat="1" applyFont="1" applyBorder="1" applyAlignment="1">
      <alignment horizontal="center"/>
    </xf>
    <xf numFmtId="2" fontId="57" fillId="0" borderId="66" xfId="0" applyNumberFormat="1" applyFont="1" applyBorder="1" applyAlignment="1">
      <alignment horizontal="center"/>
    </xf>
    <xf numFmtId="2" fontId="57" fillId="0" borderId="40" xfId="0" applyNumberFormat="1" applyFont="1" applyBorder="1" applyAlignment="1">
      <alignment horizontal="center"/>
    </xf>
    <xf numFmtId="2" fontId="57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53" fillId="0" borderId="24" xfId="0" applyFont="1" applyFill="1" applyBorder="1" applyAlignment="1">
      <alignment horizontal="center" vertical="center"/>
    </xf>
    <xf numFmtId="0" fontId="9" fillId="0" borderId="29" xfId="0" quotePrefix="1" applyFont="1" applyFill="1" applyBorder="1" applyAlignment="1">
      <alignment horizontal="center" vertic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4" fillId="0" borderId="98" xfId="0" applyFont="1" applyBorder="1" applyAlignment="1">
      <alignment horizontal="center"/>
    </xf>
    <xf numFmtId="0" fontId="54" fillId="0" borderId="66" xfId="0" applyFont="1" applyBorder="1" applyAlignment="1">
      <alignment horizontal="center"/>
    </xf>
    <xf numFmtId="0" fontId="54" fillId="0" borderId="66" xfId="0" quotePrefix="1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4" fillId="0" borderId="19" xfId="0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4" fillId="0" borderId="40" xfId="0" applyFont="1" applyBorder="1" applyAlignment="1">
      <alignment horizontal="center"/>
    </xf>
    <xf numFmtId="0" fontId="54" fillId="0" borderId="98" xfId="0" quotePrefix="1" applyFont="1" applyBorder="1" applyAlignment="1">
      <alignment horizontal="center"/>
    </xf>
    <xf numFmtId="0" fontId="54" fillId="14" borderId="98" xfId="0" applyFont="1" applyFill="1" applyBorder="1" applyAlignment="1">
      <alignment horizontal="center"/>
    </xf>
    <xf numFmtId="0" fontId="54" fillId="14" borderId="66" xfId="0" applyFont="1" applyFill="1" applyBorder="1" applyAlignment="1">
      <alignment horizontal="center"/>
    </xf>
    <xf numFmtId="0" fontId="54" fillId="14" borderId="40" xfId="0" applyFont="1" applyFill="1" applyBorder="1" applyAlignment="1">
      <alignment horizontal="center"/>
    </xf>
    <xf numFmtId="0" fontId="54" fillId="14" borderId="19" xfId="0" applyFont="1" applyFill="1" applyBorder="1" applyAlignment="1">
      <alignment horizontal="center"/>
    </xf>
    <xf numFmtId="0" fontId="54" fillId="14" borderId="98" xfId="0" quotePrefix="1" applyFont="1" applyFill="1" applyBorder="1" applyAlignment="1">
      <alignment horizontal="center"/>
    </xf>
    <xf numFmtId="0" fontId="54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4" fillId="14" borderId="98" xfId="0" applyNumberFormat="1" applyFont="1" applyFill="1" applyBorder="1" applyAlignment="1">
      <alignment horizontal="center"/>
    </xf>
    <xf numFmtId="2" fontId="54" fillId="14" borderId="66" xfId="0" applyNumberFormat="1" applyFont="1" applyFill="1" applyBorder="1" applyAlignment="1">
      <alignment horizontal="center"/>
    </xf>
    <xf numFmtId="2" fontId="54" fillId="14" borderId="40" xfId="0" applyNumberFormat="1" applyFont="1" applyFill="1" applyBorder="1" applyAlignment="1">
      <alignment horizontal="center"/>
    </xf>
    <xf numFmtId="2" fontId="54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0" fontId="9" fillId="0" borderId="5" xfId="0" applyFont="1" applyFill="1" applyBorder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3" fillId="0" borderId="46" xfId="0" applyFont="1" applyBorder="1" applyAlignment="1">
      <alignment horizontal="center"/>
    </xf>
    <xf numFmtId="0" fontId="53" fillId="0" borderId="47" xfId="0" applyFont="1" applyBorder="1" applyAlignment="1">
      <alignment horizontal="center"/>
    </xf>
    <xf numFmtId="0" fontId="53" fillId="0" borderId="76" xfId="0" applyFont="1" applyBorder="1" applyAlignment="1">
      <alignment horizontal="center"/>
    </xf>
    <xf numFmtId="0" fontId="53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166" fontId="0" fillId="0" borderId="4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60" fillId="0" borderId="12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</cellXfs>
  <cellStyles count="10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0.28092466028985075</c:v>
                </c:pt>
                <c:pt idx="1">
                  <c:v>0.30561686035719549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0.5403716011059968</c:v>
                </c:pt>
                <c:pt idx="1">
                  <c:v>0.49997202788798806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0.30561686035719549</c:v>
                </c:pt>
                <c:pt idx="1">
                  <c:v>0.31605542881430598</c:v>
                </c:pt>
                <c:pt idx="2">
                  <c:v>0.32718563330134454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0.49997202788798806</c:v>
                </c:pt>
                <c:pt idx="1">
                  <c:v>0.48289320504012256</c:v>
                </c:pt>
                <c:pt idx="2">
                  <c:v>0.46468277786558387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0.32718563330134454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0.46468277786558387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0.28676640406290782</c:v>
                </c:pt>
                <c:pt idx="1">
                  <c:v>0.31254332966075499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0.55160846593886981</c:v>
                </c:pt>
                <c:pt idx="1">
                  <c:v>0.51130334285456747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0.31254332966075499</c:v>
                </c:pt>
                <c:pt idx="1">
                  <c:v>0.32346887469777835</c:v>
                </c:pt>
                <c:pt idx="2">
                  <c:v>0.33513698481302262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0.51130334285456747</c:v>
                </c:pt>
                <c:pt idx="1">
                  <c:v>0.49422002406199983</c:v>
                </c:pt>
                <c:pt idx="2">
                  <c:v>0.47597562123083409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0.33513698481302262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0.47597562123083409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0.28986573838340329</c:v>
                </c:pt>
                <c:pt idx="1">
                  <c:v>0.31622847377154972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0.55757017911634921</c:v>
                </c:pt>
                <c:pt idx="1">
                  <c:v>0.51733203175602449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0.31622847377154972</c:v>
                </c:pt>
                <c:pt idx="1">
                  <c:v>0.32741779203367533</c:v>
                </c:pt>
                <c:pt idx="2">
                  <c:v>0.33937779714249661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0.51733203175602449</c:v>
                </c:pt>
                <c:pt idx="1">
                  <c:v>0.50025347634574524</c:v>
                </c:pt>
                <c:pt idx="2">
                  <c:v>0.48199860101079162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0.33937779714249661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0.48199860101079162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0.29503360754821828</c:v>
                </c:pt>
                <c:pt idx="1">
                  <c:v>0.32238909416033845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0.56751081491534283</c:v>
                </c:pt>
                <c:pt idx="1">
                  <c:v>0.52741046088860188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0.32238909416033845</c:v>
                </c:pt>
                <c:pt idx="1">
                  <c:v>0.33402665170649154</c:v>
                </c:pt>
                <c:pt idx="2">
                  <c:v>0.34648353468710918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0.52741046088860188</c:v>
                </c:pt>
                <c:pt idx="1">
                  <c:v>0.51035098816839986</c:v>
                </c:pt>
                <c:pt idx="2">
                  <c:v>0.49209046790512195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0.34648353468710918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0.49209046790512195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0.2993946675091525</c:v>
                </c:pt>
                <c:pt idx="1">
                  <c:v>0.3276035067443881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0.57589951582603471</c:v>
                </c:pt>
                <c:pt idx="1">
                  <c:v>0.53594094716754892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0.3276035067443881</c:v>
                </c:pt>
                <c:pt idx="1">
                  <c:v>0.33962758741522103</c:v>
                </c:pt>
                <c:pt idx="2">
                  <c:v>0.35251378321119398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0.53594094716754892</c:v>
                </c:pt>
                <c:pt idx="1">
                  <c:v>0.51890851811103889</c:v>
                </c:pt>
                <c:pt idx="2">
                  <c:v>0.50065488012309589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0.35251378321119398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0.50065488012309589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0.30379163243957014</c:v>
                </c:pt>
                <c:pt idx="1">
                  <c:v>0.332875360139754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0.58435728160923506</c:v>
                </c:pt>
                <c:pt idx="1">
                  <c:v>0.54456540338939696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0.332875360139754</c:v>
                </c:pt>
                <c:pt idx="1">
                  <c:v>0.34529687836231282</c:v>
                </c:pt>
                <c:pt idx="2">
                  <c:v>0.35862531648036999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0.54456540338939696</c:v>
                </c:pt>
                <c:pt idx="1">
                  <c:v>0.52757048631711123</c:v>
                </c:pt>
                <c:pt idx="2">
                  <c:v>0.50933473634992166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0.35862531648036999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0.50933473634992166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0.30744218105803883</c:v>
                </c:pt>
                <c:pt idx="1">
                  <c:v>0.33726339156452806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0.59137928103015414</c:v>
                </c:pt>
                <c:pt idx="1">
                  <c:v>0.55174397648028062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0.33726339156452806</c:v>
                </c:pt>
                <c:pt idx="1">
                  <c:v>0.35002082974013943</c:v>
                </c:pt>
                <c:pt idx="2">
                  <c:v>0.36372368714083358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0.55174397648028062</c:v>
                </c:pt>
                <c:pt idx="1">
                  <c:v>0.53478809377872105</c:v>
                </c:pt>
                <c:pt idx="2">
                  <c:v>0.51657565648809478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0.36372368714083358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0.51657565648809478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0.34472393143247687</c:v>
                </c:pt>
                <c:pt idx="1">
                  <c:v>0.38266240406634405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0.66309245537762174</c:v>
                </c:pt>
                <c:pt idx="1">
                  <c:v>0.62601421248138367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0.38266240406634405</c:v>
                </c:pt>
                <c:pt idx="1">
                  <c:v>0.39916961298852971</c:v>
                </c:pt>
                <c:pt idx="2">
                  <c:v>0.41708937609361463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0.62601421248138367</c:v>
                </c:pt>
                <c:pt idx="1">
                  <c:v>0.60988129358761223</c:v>
                </c:pt>
                <c:pt idx="2">
                  <c:v>0.59236784924140384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0.41708937609361463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0.59236784924140384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0.31308552583413357</c:v>
                </c:pt>
                <c:pt idx="1">
                  <c:v>0.34406672917683001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0.60223451619927415</c:v>
                </c:pt>
                <c:pt idx="1">
                  <c:v>0.56287385491190145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0.34406672917683001</c:v>
                </c:pt>
                <c:pt idx="1">
                  <c:v>0.35735418808726221</c:v>
                </c:pt>
                <c:pt idx="2">
                  <c:v>0.37164896791619589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0.56287385491190145</c:v>
                </c:pt>
                <c:pt idx="1">
                  <c:v>0.54599254905175632</c:v>
                </c:pt>
                <c:pt idx="2">
                  <c:v>0.52783147309868594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0.37164896791619589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0.52783147309868594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0.31587443349461103</c:v>
                </c:pt>
                <c:pt idx="1">
                  <c:v>0.34743786691848599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0.60759910931215377</c:v>
                </c:pt>
                <c:pt idx="1">
                  <c:v>0.56838884702004477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0.34743786691848599</c:v>
                </c:pt>
                <c:pt idx="1">
                  <c:v>0.36099210900310147</c:v>
                </c:pt>
                <c:pt idx="2">
                  <c:v>0.37558535913570079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0.56838884702004477</c:v>
                </c:pt>
                <c:pt idx="1">
                  <c:v>0.55155083766373336</c:v>
                </c:pt>
                <c:pt idx="2">
                  <c:v>0.53342210123290035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0.37558535913570079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0.53342210123290035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0.31893992081865796</c:v>
                </c:pt>
                <c:pt idx="1">
                  <c:v>0.35115019396265401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0.61349571622361621</c:v>
                </c:pt>
                <c:pt idx="1">
                  <c:v>0.57446200567459926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0.35115019396265401</c:v>
                </c:pt>
                <c:pt idx="1">
                  <c:v>0.36500140771644218</c:v>
                </c:pt>
                <c:pt idx="2">
                  <c:v>0.3799273143413337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0.57446200567459926</c:v>
                </c:pt>
                <c:pt idx="1">
                  <c:v>0.5576765451477389</c:v>
                </c:pt>
                <c:pt idx="2">
                  <c:v>0.53958872837347271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0.3799273143413337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0.53958872837347271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70DB3F06-ACED-4A9B-89F7-69176A46EDCB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344E103-3BF6-439D-B00F-B901EB48204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CFA279A-A04F-4E1D-B5A2-6ECCE698EB9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C31C0E4-509D-40B5-8937-14516B7C8E0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BE08D99-902E-4AC3-9C70-2EDEB13AD95B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29CE496-1641-4AC9-B57D-033CD64D992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9B99845-EBF5-4AB2-B869-7BC8864AAEB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45B936D-6400-4C11-840E-44566A2F6E6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A4CED13-6665-4B1E-AA28-D1C8BB6E7A8D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A5DE98B-AC1A-48CD-B729-CEE87DC8B32D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0A5CD92-AC68-4246-9662-36F972003CE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44E01A2-D9F2-4CDA-8881-A2F79EFDE63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1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0160" y="0"/>
          <a:ext cx="1110747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17</xdr:row>
      <xdr:rowOff>33617</xdr:rowOff>
    </xdr:from>
    <xdr:to>
      <xdr:col>29</xdr:col>
      <xdr:colOff>324971</xdr:colOff>
      <xdr:row>30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133350</xdr:colOff>
      <xdr:row>20</xdr:row>
      <xdr:rowOff>19050</xdr:rowOff>
    </xdr:from>
    <xdr:to>
      <xdr:col>33</xdr:col>
      <xdr:colOff>450850</xdr:colOff>
      <xdr:row>38</xdr:row>
      <xdr:rowOff>118110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63900" y="3305175"/>
          <a:ext cx="4584700" cy="304228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417" y="6942667"/>
          <a:ext cx="5135116" cy="17991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8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tabSelected="1" view="pageLayout" zoomScaleNormal="100" workbookViewId="0">
      <selection activeCell="F65" sqref="A1:F65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22" t="s">
        <v>0</v>
      </c>
      <c r="B4" s="923"/>
      <c r="C4" s="923"/>
      <c r="D4" s="923"/>
      <c r="E4" s="923"/>
      <c r="F4" s="924"/>
    </row>
    <row r="5" spans="1:6" x14ac:dyDescent="0.2">
      <c r="A5" s="2" t="s">
        <v>1</v>
      </c>
      <c r="B5" s="925" t="s">
        <v>665</v>
      </c>
      <c r="C5" s="926"/>
      <c r="D5" s="3" t="s">
        <v>2</v>
      </c>
      <c r="E5" s="927"/>
      <c r="F5" s="928"/>
    </row>
    <row r="6" spans="1:6" x14ac:dyDescent="0.2">
      <c r="A6" s="4" t="s">
        <v>3</v>
      </c>
      <c r="B6" s="929"/>
      <c r="C6" s="930"/>
      <c r="D6" s="5" t="s">
        <v>4</v>
      </c>
      <c r="E6" s="931"/>
      <c r="F6" s="932"/>
    </row>
    <row r="7" spans="1:6" x14ac:dyDescent="0.2">
      <c r="A7" s="6" t="s">
        <v>5</v>
      </c>
      <c r="B7" s="918" t="s">
        <v>687</v>
      </c>
      <c r="C7" s="919"/>
      <c r="D7" s="7" t="s">
        <v>6</v>
      </c>
      <c r="E7" s="920"/>
      <c r="F7" s="921"/>
    </row>
    <row r="9" spans="1:6" x14ac:dyDescent="0.2">
      <c r="A9" s="938" t="s">
        <v>7</v>
      </c>
      <c r="B9" s="700"/>
      <c r="C9" s="701"/>
      <c r="D9" s="8" t="s">
        <v>8</v>
      </c>
      <c r="E9" s="8" t="s">
        <v>9</v>
      </c>
      <c r="F9" s="9" t="s">
        <v>10</v>
      </c>
    </row>
    <row r="10" spans="1:6" x14ac:dyDescent="0.2">
      <c r="A10" s="939"/>
      <c r="B10" s="702"/>
      <c r="C10" s="703"/>
      <c r="D10" s="682"/>
      <c r="E10" s="10"/>
      <c r="F10" s="11"/>
    </row>
    <row r="12" spans="1:6" ht="12.75" customHeight="1" x14ac:dyDescent="0.2">
      <c r="A12" s="940" t="s">
        <v>521</v>
      </c>
      <c r="B12" s="736"/>
      <c r="C12" s="737"/>
      <c r="D12" s="941" t="s">
        <v>11</v>
      </c>
      <c r="E12" s="680"/>
      <c r="F12" s="678"/>
    </row>
    <row r="13" spans="1:6" x14ac:dyDescent="0.2">
      <c r="A13" s="939"/>
      <c r="B13" s="738"/>
      <c r="C13" s="739"/>
      <c r="D13" s="942"/>
      <c r="E13" s="681"/>
      <c r="F13" s="679"/>
    </row>
    <row r="15" spans="1:6" x14ac:dyDescent="0.2">
      <c r="A15" s="943" t="s">
        <v>48</v>
      </c>
      <c r="B15" s="817">
        <v>-2.5</v>
      </c>
      <c r="C15" s="817">
        <v>-2.5</v>
      </c>
      <c r="D15" s="945" t="s">
        <v>509</v>
      </c>
      <c r="E15" s="819">
        <v>1.5</v>
      </c>
      <c r="F15" s="820">
        <v>1.5</v>
      </c>
    </row>
    <row r="16" spans="1:6" x14ac:dyDescent="0.2">
      <c r="A16" s="944"/>
      <c r="B16" s="818">
        <v>-1.9</v>
      </c>
      <c r="C16" s="818">
        <v>-1.9</v>
      </c>
      <c r="D16" s="946"/>
      <c r="E16" s="821">
        <v>-2</v>
      </c>
      <c r="F16" s="822">
        <v>-2</v>
      </c>
    </row>
    <row r="17" spans="1:13" x14ac:dyDescent="0.2">
      <c r="A17" s="12" t="s">
        <v>12</v>
      </c>
      <c r="B17" s="825">
        <v>9.9</v>
      </c>
      <c r="C17" s="826">
        <v>9.9</v>
      </c>
      <c r="D17" s="14" t="s">
        <v>12</v>
      </c>
      <c r="E17" s="826">
        <v>13.57</v>
      </c>
      <c r="F17" s="828">
        <v>13.57</v>
      </c>
    </row>
    <row r="18" spans="1:13" x14ac:dyDescent="0.2">
      <c r="A18" s="16"/>
      <c r="B18" s="827">
        <v>5.5</v>
      </c>
      <c r="C18" s="827">
        <v>5.5</v>
      </c>
      <c r="D18" s="18"/>
      <c r="E18" s="829" t="s">
        <v>681</v>
      </c>
      <c r="F18" s="830" t="s">
        <v>681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567</v>
      </c>
      <c r="D21" s="57" t="s">
        <v>49</v>
      </c>
      <c r="E21" s="23"/>
      <c r="F21" s="1030" t="s">
        <v>679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567</v>
      </c>
      <c r="F22" s="1031" t="s">
        <v>680</v>
      </c>
      <c r="H22" s="947" t="s">
        <v>537</v>
      </c>
      <c r="I22" s="947"/>
      <c r="J22" s="947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60" t="s">
        <v>538</v>
      </c>
      <c r="I24" s="761" t="s">
        <v>539</v>
      </c>
      <c r="J24" s="762" t="s">
        <v>542</v>
      </c>
    </row>
    <row r="25" spans="1:13" ht="13.5" thickBot="1" x14ac:dyDescent="0.25">
      <c r="A25" s="29" t="s">
        <v>13</v>
      </c>
      <c r="B25" s="61" t="s">
        <v>630</v>
      </c>
      <c r="C25" s="61" t="s">
        <v>544</v>
      </c>
      <c r="D25" s="30" t="s">
        <v>13</v>
      </c>
      <c r="E25" s="711" t="s">
        <v>671</v>
      </c>
      <c r="F25" s="712" t="s">
        <v>671</v>
      </c>
      <c r="H25" s="836">
        <v>50</v>
      </c>
      <c r="I25" s="837">
        <v>50</v>
      </c>
      <c r="J25" s="838">
        <v>42.3</v>
      </c>
    </row>
    <row r="26" spans="1:13" ht="13.5" thickBot="1" x14ac:dyDescent="0.25">
      <c r="A26" s="32" t="s">
        <v>17</v>
      </c>
      <c r="B26" s="54" t="s">
        <v>634</v>
      </c>
      <c r="C26" s="54" t="s">
        <v>544</v>
      </c>
      <c r="D26" s="25" t="s">
        <v>17</v>
      </c>
      <c r="E26" s="713" t="s">
        <v>670</v>
      </c>
      <c r="F26" s="714" t="s">
        <v>670</v>
      </c>
      <c r="H26" s="763" t="s">
        <v>540</v>
      </c>
      <c r="I26" s="764" t="s">
        <v>541</v>
      </c>
      <c r="J26" s="765" t="s">
        <v>543</v>
      </c>
    </row>
    <row r="27" spans="1:13" ht="13.5" thickBot="1" x14ac:dyDescent="0.25">
      <c r="H27" s="839">
        <v>35.700000000000003</v>
      </c>
      <c r="I27" s="840">
        <v>35.700000000000003</v>
      </c>
      <c r="J27" s="841">
        <v>24.4</v>
      </c>
    </row>
    <row r="28" spans="1:13" x14ac:dyDescent="0.2">
      <c r="A28" s="2" t="s">
        <v>23</v>
      </c>
      <c r="B28" s="721">
        <v>8</v>
      </c>
      <c r="C28" s="721">
        <v>8</v>
      </c>
      <c r="D28" s="33"/>
      <c r="E28" s="9" t="s">
        <v>513</v>
      </c>
      <c r="F28" s="59" t="s">
        <v>631</v>
      </c>
      <c r="G28" s="220"/>
    </row>
    <row r="29" spans="1:13" x14ac:dyDescent="0.2">
      <c r="A29" s="24"/>
      <c r="B29" s="722">
        <v>9.6</v>
      </c>
      <c r="C29" s="722">
        <v>9.6</v>
      </c>
      <c r="D29" s="34"/>
      <c r="E29" s="34"/>
      <c r="F29" s="720" t="s">
        <v>632</v>
      </c>
      <c r="G29" s="220"/>
    </row>
    <row r="30" spans="1:13" ht="13.5" thickBot="1" x14ac:dyDescent="0.25">
      <c r="K30" s="758" t="s">
        <v>574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510</v>
      </c>
      <c r="F31" s="744" t="s">
        <v>482</v>
      </c>
      <c r="G31" s="770"/>
      <c r="H31" s="767" t="s">
        <v>553</v>
      </c>
      <c r="I31" s="768" t="s">
        <v>552</v>
      </c>
      <c r="J31" s="768" t="s">
        <v>572</v>
      </c>
      <c r="K31" s="768" t="s">
        <v>573</v>
      </c>
      <c r="L31" s="768" t="s">
        <v>570</v>
      </c>
      <c r="M31" s="769" t="s">
        <v>571</v>
      </c>
    </row>
    <row r="32" spans="1:13" x14ac:dyDescent="0.2">
      <c r="A32" s="29" t="s">
        <v>26</v>
      </c>
      <c r="B32" s="704" t="s">
        <v>673</v>
      </c>
      <c r="C32" s="741"/>
      <c r="D32" s="881" t="s">
        <v>676</v>
      </c>
      <c r="E32" s="1029" t="s">
        <v>677</v>
      </c>
      <c r="F32" s="1032" t="s">
        <v>682</v>
      </c>
      <c r="G32" s="772" t="s">
        <v>13</v>
      </c>
      <c r="H32" s="836">
        <v>14.7</v>
      </c>
      <c r="I32" s="837">
        <v>2.2000000000000002</v>
      </c>
      <c r="J32" s="837">
        <v>87.405000000000001</v>
      </c>
      <c r="K32" s="842"/>
      <c r="L32" s="837">
        <f>$J32-$H32-$I32-H25</f>
        <v>20.504999999999995</v>
      </c>
      <c r="M32" s="843">
        <f>$J32-$H32-$I32-I25</f>
        <v>20.504999999999995</v>
      </c>
    </row>
    <row r="33" spans="1:13" ht="13.5" thickBot="1" x14ac:dyDescent="0.25">
      <c r="A33" s="29" t="s">
        <v>27</v>
      </c>
      <c r="B33" s="704" t="s">
        <v>218</v>
      </c>
      <c r="C33" s="741"/>
      <c r="D33" s="704" t="s">
        <v>686</v>
      </c>
      <c r="E33" s="57" t="s">
        <v>678</v>
      </c>
      <c r="F33" s="1032" t="s">
        <v>683</v>
      </c>
      <c r="G33" s="773" t="s">
        <v>17</v>
      </c>
      <c r="H33" s="836">
        <v>29.3</v>
      </c>
      <c r="I33" s="837">
        <v>2.2000000000000002</v>
      </c>
      <c r="J33" s="837">
        <v>96.4</v>
      </c>
      <c r="K33" s="842"/>
      <c r="L33" s="837">
        <f>$J$33-$H$33-$I$33-H27</f>
        <v>29.200000000000003</v>
      </c>
      <c r="M33" s="843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57" t="s">
        <v>674</v>
      </c>
      <c r="F34" s="1032" t="s">
        <v>684</v>
      </c>
      <c r="G34" s="774" t="s">
        <v>89</v>
      </c>
      <c r="H34" s="844"/>
      <c r="I34" s="845"/>
      <c r="J34" s="846">
        <v>172.52</v>
      </c>
      <c r="K34" s="846">
        <v>70.3</v>
      </c>
      <c r="L34" s="933">
        <f>J34-K34-J25</f>
        <v>59.920000000000016</v>
      </c>
      <c r="M34" s="934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8" t="s">
        <v>675</v>
      </c>
      <c r="F35" s="1033" t="s">
        <v>685</v>
      </c>
      <c r="G35" s="775" t="s">
        <v>90</v>
      </c>
      <c r="H35" s="847"/>
      <c r="I35" s="848"/>
      <c r="J35" s="849">
        <v>233</v>
      </c>
      <c r="K35" s="849">
        <v>140</v>
      </c>
      <c r="L35" s="935">
        <f>J35-K35-J27</f>
        <v>68.599999999999994</v>
      </c>
      <c r="M35" s="936"/>
    </row>
    <row r="36" spans="1:13" x14ac:dyDescent="0.2">
      <c r="C36" s="937" t="s">
        <v>575</v>
      </c>
      <c r="D36" s="937"/>
      <c r="E36" s="937"/>
      <c r="F36" s="937"/>
    </row>
    <row r="37" spans="1:13" x14ac:dyDescent="0.2">
      <c r="A37" s="2" t="s">
        <v>30</v>
      </c>
      <c r="B37" s="33"/>
      <c r="C37" s="37" t="s">
        <v>485</v>
      </c>
      <c r="D37" s="37"/>
      <c r="E37" s="37" t="s">
        <v>486</v>
      </c>
      <c r="F37" s="38"/>
    </row>
    <row r="38" spans="1:13" x14ac:dyDescent="0.2">
      <c r="A38" s="62" t="s">
        <v>669</v>
      </c>
      <c r="B38" s="637" t="s">
        <v>487</v>
      </c>
      <c r="C38" s="715"/>
      <c r="D38" s="705"/>
      <c r="E38" s="705"/>
      <c r="F38" s="716"/>
    </row>
    <row r="39" spans="1:13" x14ac:dyDescent="0.2">
      <c r="A39" s="63" t="s">
        <v>669</v>
      </c>
      <c r="B39" s="638" t="s">
        <v>488</v>
      </c>
      <c r="C39" s="713"/>
      <c r="D39" s="713"/>
      <c r="E39" s="713"/>
      <c r="F39" s="714"/>
    </row>
    <row r="40" spans="1:13" x14ac:dyDescent="0.2">
      <c r="C40" s="937" t="s">
        <v>575</v>
      </c>
      <c r="D40" s="937"/>
      <c r="E40" s="937"/>
      <c r="F40" s="937"/>
    </row>
    <row r="41" spans="1:13" x14ac:dyDescent="0.2">
      <c r="A41" s="2" t="s">
        <v>33</v>
      </c>
      <c r="B41" s="33"/>
      <c r="C41" s="37" t="s">
        <v>31</v>
      </c>
      <c r="D41" s="639"/>
      <c r="E41" s="37" t="s">
        <v>32</v>
      </c>
      <c r="F41" s="640"/>
    </row>
    <row r="42" spans="1:13" x14ac:dyDescent="0.2">
      <c r="A42" s="62" t="s">
        <v>669</v>
      </c>
      <c r="B42" s="637" t="s">
        <v>13</v>
      </c>
      <c r="C42" s="705"/>
      <c r="D42" s="641"/>
      <c r="E42" s="718"/>
      <c r="F42" s="48"/>
    </row>
    <row r="43" spans="1:13" x14ac:dyDescent="0.2">
      <c r="A43" s="63" t="s">
        <v>669</v>
      </c>
      <c r="B43" s="638" t="s">
        <v>17</v>
      </c>
      <c r="C43" s="717"/>
      <c r="D43" s="642"/>
      <c r="E43" s="719"/>
      <c r="F43" s="643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916" t="s">
        <v>35</v>
      </c>
      <c r="D45" s="55" t="s">
        <v>666</v>
      </c>
      <c r="E45" s="916" t="s">
        <v>36</v>
      </c>
      <c r="F45" s="68" t="s">
        <v>569</v>
      </c>
    </row>
    <row r="46" spans="1:13" x14ac:dyDescent="0.2">
      <c r="A46" s="833" t="s">
        <v>527</v>
      </c>
      <c r="B46" s="56">
        <v>62</v>
      </c>
      <c r="C46" s="916" t="s">
        <v>667</v>
      </c>
      <c r="D46" s="56"/>
      <c r="E46" s="916" t="s">
        <v>664</v>
      </c>
      <c r="F46" s="65"/>
    </row>
    <row r="48" spans="1:13" x14ac:dyDescent="0.2">
      <c r="A48" s="42" t="s">
        <v>37</v>
      </c>
      <c r="B48" s="707" t="s">
        <v>511</v>
      </c>
      <c r="C48" s="44"/>
      <c r="D48" s="44"/>
      <c r="E48" s="52" t="s">
        <v>672</v>
      </c>
      <c r="F48" s="917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880" t="s">
        <v>662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668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3"/>
      <c r="B58" s="220"/>
      <c r="C58" s="220"/>
      <c r="D58" s="220"/>
      <c r="E58" s="220"/>
      <c r="F58" s="356" t="s">
        <v>663</v>
      </c>
    </row>
    <row r="59" spans="1:6" x14ac:dyDescent="0.2">
      <c r="A59" s="684"/>
      <c r="B59" s="220"/>
      <c r="C59" s="220"/>
      <c r="D59" s="220"/>
      <c r="E59" s="220"/>
      <c r="F59" s="355" t="s">
        <v>263</v>
      </c>
    </row>
    <row r="60" spans="1:6" x14ac:dyDescent="0.2">
      <c r="A60" s="683"/>
      <c r="B60" s="220"/>
      <c r="C60" s="220"/>
      <c r="D60" s="220"/>
      <c r="E60" s="220"/>
      <c r="F60" s="356" t="s">
        <v>663</v>
      </c>
    </row>
    <row r="61" spans="1:6" x14ac:dyDescent="0.2">
      <c r="A61" s="683"/>
      <c r="B61" s="220"/>
      <c r="C61" s="220"/>
      <c r="D61" s="220"/>
      <c r="E61" s="220"/>
      <c r="F61" s="355" t="s">
        <v>264</v>
      </c>
    </row>
    <row r="62" spans="1:6" x14ac:dyDescent="0.2">
      <c r="A62" s="683"/>
      <c r="B62" s="220"/>
      <c r="C62" s="220"/>
      <c r="D62" s="220"/>
      <c r="E62" s="220"/>
      <c r="F62" s="31" t="s">
        <v>514</v>
      </c>
    </row>
    <row r="63" spans="1:6" x14ac:dyDescent="0.2">
      <c r="A63" s="683"/>
      <c r="B63" s="220"/>
      <c r="C63" s="220"/>
      <c r="D63" s="220"/>
      <c r="E63" s="220"/>
      <c r="F63" s="685"/>
    </row>
    <row r="64" spans="1:6" x14ac:dyDescent="0.2">
      <c r="A64" s="683"/>
      <c r="B64" s="220"/>
      <c r="C64" s="220"/>
      <c r="D64" s="220"/>
      <c r="E64" s="220"/>
      <c r="F64" s="685"/>
    </row>
    <row r="65" spans="1:6" x14ac:dyDescent="0.2">
      <c r="A65" s="16"/>
      <c r="B65" s="18"/>
      <c r="C65" s="18"/>
      <c r="D65" s="18"/>
      <c r="E65" s="18"/>
      <c r="F65" s="686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dimension ref="A1:AD41"/>
  <sheetViews>
    <sheetView showGridLines="0" zoomScale="85" zoomScaleNormal="85" workbookViewId="0">
      <selection activeCell="V40" sqref="V40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9" width="10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501</v>
      </c>
      <c r="C2" s="80" t="s">
        <v>498</v>
      </c>
      <c r="D2" s="80" t="s">
        <v>504</v>
      </c>
      <c r="E2" s="626" t="s">
        <v>502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3" t="s">
        <v>621</v>
      </c>
      <c r="Q2" s="172"/>
      <c r="R2" s="172"/>
      <c r="S2" s="172"/>
      <c r="T2" s="80" t="s">
        <v>13</v>
      </c>
      <c r="U2" s="626" t="s">
        <v>17</v>
      </c>
      <c r="V2" s="593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5">
        <v>-1</v>
      </c>
      <c r="E3" s="382">
        <f>C3+D3</f>
        <v>240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623</v>
      </c>
      <c r="Q3" s="381"/>
      <c r="R3" s="381"/>
      <c r="S3" s="381"/>
      <c r="T3" s="163">
        <v>0.70399999999999996</v>
      </c>
      <c r="U3" s="810">
        <v>0.44</v>
      </c>
      <c r="W3" s="381"/>
      <c r="X3" s="382"/>
      <c r="Y3" s="381"/>
      <c r="Z3" s="381"/>
    </row>
    <row r="4" spans="2:30" x14ac:dyDescent="0.25">
      <c r="B4" s="81" t="s">
        <v>500</v>
      </c>
      <c r="C4" s="82" t="s">
        <v>497</v>
      </c>
      <c r="D4" s="82" t="s">
        <v>504</v>
      </c>
      <c r="E4" s="649" t="s">
        <v>502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622</v>
      </c>
      <c r="Q4" s="381"/>
      <c r="R4" s="381"/>
      <c r="S4" s="381"/>
      <c r="T4" s="811">
        <v>0.28000000000000003</v>
      </c>
      <c r="U4" s="812">
        <v>0.49</v>
      </c>
      <c r="W4" s="381"/>
      <c r="X4" s="382"/>
      <c r="Y4" s="381"/>
      <c r="Z4" s="381"/>
    </row>
    <row r="5" spans="2:30" x14ac:dyDescent="0.25">
      <c r="B5" s="655">
        <v>96</v>
      </c>
      <c r="C5" s="656">
        <v>293.89999999999998</v>
      </c>
      <c r="D5" s="816">
        <v>-6</v>
      </c>
      <c r="E5" s="657">
        <f>C5+D5</f>
        <v>287.89999999999998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5" t="s">
        <v>624</v>
      </c>
      <c r="Q5" s="96"/>
      <c r="R5" s="96"/>
      <c r="S5" s="96"/>
      <c r="T5" s="814">
        <v>5</v>
      </c>
      <c r="U5" s="654">
        <v>3.6</v>
      </c>
      <c r="W5" s="381"/>
      <c r="X5" s="382"/>
      <c r="Y5" s="381"/>
      <c r="Z5" s="381"/>
    </row>
    <row r="6" spans="2:30" x14ac:dyDescent="0.25">
      <c r="B6" s="94"/>
      <c r="C6" s="381"/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381"/>
      <c r="S6" s="381"/>
      <c r="T6" s="381"/>
      <c r="U6" s="381"/>
      <c r="V6" s="381"/>
      <c r="W6" s="381"/>
      <c r="X6" s="382"/>
      <c r="Y6" s="381"/>
      <c r="Z6" s="381"/>
    </row>
    <row r="7" spans="2:30" x14ac:dyDescent="0.25">
      <c r="B7" s="660"/>
      <c r="C7" s="661" t="s">
        <v>336</v>
      </c>
      <c r="D7" s="662" t="s">
        <v>503</v>
      </c>
      <c r="E7" s="663"/>
      <c r="F7" s="662" t="s">
        <v>520</v>
      </c>
      <c r="G7" s="664"/>
      <c r="H7" s="664" t="s">
        <v>23</v>
      </c>
      <c r="I7" s="663"/>
      <c r="J7" s="664" t="s">
        <v>517</v>
      </c>
      <c r="K7" s="663"/>
      <c r="L7" s="662" t="s">
        <v>518</v>
      </c>
      <c r="M7" s="664"/>
      <c r="N7" s="664" t="s">
        <v>614</v>
      </c>
      <c r="O7" s="663"/>
      <c r="P7" s="662" t="s">
        <v>519</v>
      </c>
      <c r="Q7" s="664"/>
      <c r="R7" s="664" t="s">
        <v>583</v>
      </c>
      <c r="S7" s="663"/>
      <c r="T7" s="664" t="s">
        <v>505</v>
      </c>
      <c r="U7" s="663"/>
      <c r="V7" s="803" t="s">
        <v>617</v>
      </c>
      <c r="W7" s="664" t="s">
        <v>506</v>
      </c>
      <c r="X7" s="663" t="s">
        <v>507</v>
      </c>
      <c r="Y7" s="658"/>
      <c r="Z7" s="658"/>
    </row>
    <row r="8" spans="2:30" x14ac:dyDescent="0.25">
      <c r="B8" s="94"/>
      <c r="C8" s="381"/>
      <c r="D8" s="672"/>
      <c r="E8" s="659"/>
      <c r="F8" s="672"/>
      <c r="G8" s="92"/>
      <c r="H8" s="92"/>
      <c r="I8" s="659"/>
      <c r="J8" s="92"/>
      <c r="K8" s="659"/>
      <c r="L8" s="672"/>
      <c r="M8" s="92"/>
      <c r="N8" s="92"/>
      <c r="O8" s="659"/>
      <c r="P8" s="672"/>
      <c r="Q8" s="92"/>
      <c r="R8" s="92"/>
      <c r="S8" s="659"/>
      <c r="T8" s="92"/>
      <c r="U8" s="659"/>
      <c r="V8" s="804"/>
      <c r="W8" s="92"/>
      <c r="X8" s="659"/>
      <c r="Y8" s="399"/>
      <c r="Z8" s="399"/>
    </row>
    <row r="9" spans="2:30" ht="15.75" thickBot="1" x14ac:dyDescent="0.3">
      <c r="B9" s="94"/>
      <c r="C9" s="381" t="s">
        <v>585</v>
      </c>
      <c r="D9" s="676">
        <v>255.6</v>
      </c>
      <c r="E9" s="673">
        <v>255.6</v>
      </c>
      <c r="F9" s="665">
        <f>$B$3-(D9-$E$3)</f>
        <v>60.400000000000006</v>
      </c>
      <c r="G9" s="373">
        <f>$B$3-(E9-$E$3)</f>
        <v>60.400000000000006</v>
      </c>
      <c r="H9" s="373"/>
      <c r="I9" s="666"/>
      <c r="J9" s="373"/>
      <c r="K9" s="666"/>
      <c r="L9" s="687">
        <v>-2.7</v>
      </c>
      <c r="M9" s="373">
        <v>-2.7</v>
      </c>
      <c r="N9" s="373"/>
      <c r="O9" s="666"/>
      <c r="P9" s="687">
        <v>1.5</v>
      </c>
      <c r="Q9" s="373">
        <v>1.5</v>
      </c>
      <c r="R9" s="373"/>
      <c r="S9" s="666"/>
      <c r="T9" s="373"/>
      <c r="U9" s="666"/>
      <c r="V9" s="805" t="s">
        <v>524</v>
      </c>
      <c r="W9" s="373" t="e">
        <f>(T9+U9)/(T9+U9+T10+U10)*100</f>
        <v>#DIV/0!</v>
      </c>
      <c r="X9" s="667" t="e">
        <f>(T9+U10)/(T9+U9+T10+U10)*100</f>
        <v>#DIV/0!</v>
      </c>
      <c r="Y9" s="399" t="s">
        <v>525</v>
      </c>
      <c r="Z9" s="399"/>
      <c r="AB9" s="854" t="s">
        <v>643</v>
      </c>
      <c r="AC9" s="854"/>
      <c r="AD9" s="854"/>
    </row>
    <row r="10" spans="2:30" x14ac:dyDescent="0.25">
      <c r="B10" s="95"/>
      <c r="C10" s="96" t="s">
        <v>612</v>
      </c>
      <c r="D10" s="677">
        <v>300.10000000000002</v>
      </c>
      <c r="E10" s="668">
        <v>300.10000000000002</v>
      </c>
      <c r="F10" s="669">
        <f>$B$5-(D10-$E$5)</f>
        <v>83.799999999999955</v>
      </c>
      <c r="G10" s="671">
        <f>$B$5-(E10-$E$5)</f>
        <v>83.799999999999955</v>
      </c>
      <c r="H10" s="671"/>
      <c r="I10" s="670"/>
      <c r="J10" s="671"/>
      <c r="K10" s="670"/>
      <c r="L10" s="709" t="s">
        <v>581</v>
      </c>
      <c r="M10" s="799" t="s">
        <v>581</v>
      </c>
      <c r="N10" s="671"/>
      <c r="O10" s="670"/>
      <c r="P10" s="688">
        <v>-2</v>
      </c>
      <c r="Q10" s="671">
        <v>-2</v>
      </c>
      <c r="R10" s="671"/>
      <c r="S10" s="670"/>
      <c r="T10" s="671"/>
      <c r="U10" s="670"/>
      <c r="V10" s="806" t="s">
        <v>526</v>
      </c>
      <c r="W10" s="689"/>
      <c r="X10" s="690"/>
      <c r="Y10" s="399" t="s">
        <v>522</v>
      </c>
      <c r="Z10" s="399"/>
      <c r="AB10" s="948" t="s">
        <v>641</v>
      </c>
      <c r="AC10" s="949"/>
      <c r="AD10" s="850" t="s">
        <v>640</v>
      </c>
    </row>
    <row r="11" spans="2:30" x14ac:dyDescent="0.25">
      <c r="B11" s="94"/>
      <c r="C11" s="381"/>
      <c r="D11" s="672"/>
      <c r="E11" s="659"/>
      <c r="F11" s="672"/>
      <c r="G11" s="92"/>
      <c r="H11" s="92"/>
      <c r="I11" s="659"/>
      <c r="J11" s="92"/>
      <c r="K11" s="659"/>
      <c r="L11" s="779"/>
      <c r="M11" s="92"/>
      <c r="N11" s="92"/>
      <c r="O11" s="659"/>
      <c r="P11" s="672"/>
      <c r="Q11" s="92"/>
      <c r="R11" s="92"/>
      <c r="S11" s="659"/>
      <c r="T11" s="92"/>
      <c r="U11" s="659"/>
      <c r="V11" s="804"/>
      <c r="W11" s="92"/>
      <c r="X11" s="659"/>
      <c r="Y11" s="399"/>
      <c r="Z11" s="399"/>
      <c r="AB11" s="99">
        <v>253.2</v>
      </c>
      <c r="AC11" s="87">
        <v>256.8</v>
      </c>
      <c r="AD11" s="852">
        <f>AB11+AC11</f>
        <v>510</v>
      </c>
    </row>
    <row r="12" spans="2:30" ht="15.75" thickBot="1" x14ac:dyDescent="0.3">
      <c r="B12" s="94"/>
      <c r="C12" s="381" t="s">
        <v>582</v>
      </c>
      <c r="D12" s="676">
        <v>254.46</v>
      </c>
      <c r="E12" s="673">
        <v>254.65</v>
      </c>
      <c r="F12" s="665">
        <f>$B$3-(D12-$E$3)</f>
        <v>61.539999999999992</v>
      </c>
      <c r="G12" s="373">
        <f>$B$3-(E12-$E$3)</f>
        <v>61.349999999999994</v>
      </c>
      <c r="H12" s="373"/>
      <c r="I12" s="666"/>
      <c r="J12" s="373"/>
      <c r="K12" s="666"/>
      <c r="L12" s="687">
        <v>-2.6</v>
      </c>
      <c r="M12" s="373">
        <v>-2.6</v>
      </c>
      <c r="N12" s="373"/>
      <c r="O12" s="666"/>
      <c r="P12" s="687">
        <v>1.5</v>
      </c>
      <c r="Q12" s="373">
        <v>1.25</v>
      </c>
      <c r="R12" s="373">
        <v>13.57</v>
      </c>
      <c r="S12" s="666">
        <v>13</v>
      </c>
      <c r="T12" s="373">
        <v>253.2</v>
      </c>
      <c r="U12" s="666">
        <v>256.8</v>
      </c>
      <c r="V12" s="805"/>
      <c r="W12" s="780">
        <f>(T12+U12)/(T12+U12+T13+U13)*100</f>
        <v>45.208758088821916</v>
      </c>
      <c r="X12" s="781">
        <f>(T12+U13)/(T12+U12+T13+U13)*100</f>
        <v>49.250952929704809</v>
      </c>
      <c r="Y12" s="399" t="s">
        <v>584</v>
      </c>
      <c r="Z12" s="399"/>
      <c r="AB12" s="100">
        <v>315.7</v>
      </c>
      <c r="AC12" s="142">
        <v>302.39999999999998</v>
      </c>
      <c r="AD12" s="853">
        <f>AB12+AC12</f>
        <v>618.09999999999991</v>
      </c>
    </row>
    <row r="13" spans="2:30" ht="15.75" thickBot="1" x14ac:dyDescent="0.3">
      <c r="B13" s="95"/>
      <c r="C13" s="96" t="s">
        <v>612</v>
      </c>
      <c r="D13" s="677">
        <v>301.64999999999998</v>
      </c>
      <c r="E13" s="668">
        <v>301.77</v>
      </c>
      <c r="F13" s="669">
        <f>$B$5-(D13-$E$5)</f>
        <v>82.25</v>
      </c>
      <c r="G13" s="671">
        <f>$B$5-(E13-$E$5)</f>
        <v>82.13</v>
      </c>
      <c r="H13" s="671"/>
      <c r="I13" s="670"/>
      <c r="J13" s="671"/>
      <c r="K13" s="670"/>
      <c r="L13" s="688">
        <v>-2.1</v>
      </c>
      <c r="M13" s="671">
        <v>-2.1</v>
      </c>
      <c r="N13" s="671"/>
      <c r="O13" s="670"/>
      <c r="P13" s="688">
        <v>-1.6</v>
      </c>
      <c r="Q13" s="671">
        <v>-1.6</v>
      </c>
      <c r="R13" s="671"/>
      <c r="S13" s="670"/>
      <c r="T13" s="671">
        <v>315.7</v>
      </c>
      <c r="U13" s="670">
        <v>302.39999999999998</v>
      </c>
      <c r="V13" s="806"/>
      <c r="W13" s="802"/>
      <c r="X13" s="690"/>
      <c r="Y13" s="399"/>
      <c r="Z13" s="399"/>
      <c r="AC13" s="500" t="s">
        <v>642</v>
      </c>
      <c r="AD13" s="851">
        <f>AD11+AD12</f>
        <v>1128.0999999999999</v>
      </c>
    </row>
    <row r="14" spans="2:30" s="380" customFormat="1" x14ac:dyDescent="0.25">
      <c r="B14" s="94"/>
      <c r="D14" s="672"/>
      <c r="E14" s="659"/>
      <c r="F14" s="672"/>
      <c r="G14" s="92"/>
      <c r="H14" s="92"/>
      <c r="I14" s="659"/>
      <c r="J14" s="92"/>
      <c r="K14" s="659"/>
      <c r="L14" s="672"/>
      <c r="M14" s="92"/>
      <c r="N14" s="92"/>
      <c r="O14" s="659"/>
      <c r="P14" s="672"/>
      <c r="Q14" s="92"/>
      <c r="R14" s="92"/>
      <c r="S14" s="659"/>
      <c r="T14" s="71"/>
      <c r="U14" s="659"/>
      <c r="V14" s="804"/>
      <c r="W14" s="71"/>
      <c r="X14" s="659"/>
    </row>
    <row r="15" spans="2:30" s="380" customFormat="1" x14ac:dyDescent="0.25">
      <c r="B15" s="94"/>
      <c r="C15" s="380" t="s">
        <v>616</v>
      </c>
      <c r="D15" s="676">
        <v>253.4</v>
      </c>
      <c r="E15" s="673">
        <v>253.75</v>
      </c>
      <c r="F15" s="665">
        <f>$B$3-(D15-$E$3)</f>
        <v>62.599999999999994</v>
      </c>
      <c r="G15" s="373">
        <f>$B$3-(E15-$E$3)</f>
        <v>62.25</v>
      </c>
      <c r="H15" s="373">
        <v>6.6</v>
      </c>
      <c r="I15" s="666">
        <v>6.55</v>
      </c>
      <c r="J15" s="373"/>
      <c r="K15" s="666"/>
      <c r="L15" s="687">
        <v>-2.5</v>
      </c>
      <c r="M15" s="373">
        <v>-2.5</v>
      </c>
      <c r="N15" s="373"/>
      <c r="O15" s="666"/>
      <c r="P15" s="687">
        <v>1.5</v>
      </c>
      <c r="Q15" s="373">
        <v>1.6</v>
      </c>
      <c r="R15" s="807" t="s">
        <v>620</v>
      </c>
      <c r="S15" s="808" t="s">
        <v>619</v>
      </c>
      <c r="T15" s="373">
        <v>232.8</v>
      </c>
      <c r="U15" s="666">
        <v>222</v>
      </c>
      <c r="V15" s="805" t="s">
        <v>524</v>
      </c>
      <c r="W15" s="780">
        <f>(T15+U15)/(T15+U15+T16+U16)*100</f>
        <v>43.421806377697152</v>
      </c>
      <c r="X15" s="781">
        <f>(T15+U16)/(T15+U15+T16+U16)*100</f>
        <v>51.212526255489784</v>
      </c>
    </row>
    <row r="16" spans="2:30" s="380" customFormat="1" x14ac:dyDescent="0.25">
      <c r="B16" s="95"/>
      <c r="C16" s="96" t="s">
        <v>612</v>
      </c>
      <c r="D16" s="677">
        <v>299.5</v>
      </c>
      <c r="E16" s="668">
        <v>299.63</v>
      </c>
      <c r="F16" s="669">
        <f>$B$5-(D16-$E$5)</f>
        <v>84.399999999999977</v>
      </c>
      <c r="G16" s="671">
        <f>$B$5-(E16-$E$5)</f>
        <v>84.269999999999982</v>
      </c>
      <c r="H16" s="800">
        <v>8.93</v>
      </c>
      <c r="I16" s="801">
        <v>8.76</v>
      </c>
      <c r="J16" s="671"/>
      <c r="K16" s="670"/>
      <c r="L16" s="709">
        <v>-2.1</v>
      </c>
      <c r="M16" s="799">
        <v>-1.9</v>
      </c>
      <c r="N16" s="800"/>
      <c r="O16" s="801"/>
      <c r="P16" s="688">
        <v>-1.5</v>
      </c>
      <c r="Q16" s="671">
        <v>-1.6</v>
      </c>
      <c r="R16" s="671"/>
      <c r="S16" s="670"/>
      <c r="T16" s="671">
        <v>289</v>
      </c>
      <c r="U16" s="670">
        <v>303.60000000000002</v>
      </c>
      <c r="V16" s="806" t="s">
        <v>526</v>
      </c>
      <c r="W16" s="689"/>
      <c r="X16" s="690"/>
    </row>
    <row r="17" spans="2:28" s="380" customFormat="1" ht="15.75" thickBot="1" x14ac:dyDescent="0.3">
      <c r="B17" s="94"/>
      <c r="C17" s="381"/>
      <c r="D17" s="672"/>
      <c r="E17" s="659"/>
      <c r="F17" s="672"/>
      <c r="G17" s="92"/>
      <c r="H17" s="92"/>
      <c r="I17" s="659"/>
      <c r="J17" s="92"/>
      <c r="K17" s="659"/>
      <c r="L17" s="672"/>
      <c r="M17" s="92"/>
      <c r="N17" s="92"/>
      <c r="O17" s="659"/>
      <c r="P17" s="672"/>
      <c r="Q17" s="92"/>
      <c r="R17" s="92"/>
      <c r="S17" s="659"/>
      <c r="T17" s="92"/>
      <c r="U17" s="659"/>
      <c r="V17" s="804"/>
      <c r="W17" s="92"/>
      <c r="X17" s="659"/>
      <c r="Y17" s="955" t="s">
        <v>648</v>
      </c>
      <c r="Z17" s="956"/>
      <c r="AA17" s="956"/>
      <c r="AB17" s="956"/>
    </row>
    <row r="18" spans="2:28" s="380" customFormat="1" ht="15.75" thickBot="1" x14ac:dyDescent="0.3">
      <c r="B18" s="859" t="s">
        <v>645</v>
      </c>
      <c r="C18" s="381" t="s">
        <v>644</v>
      </c>
      <c r="D18" s="831"/>
      <c r="E18" s="832"/>
      <c r="F18" s="861">
        <v>68.55</v>
      </c>
      <c r="G18" s="862">
        <v>68.55</v>
      </c>
      <c r="H18" s="865">
        <v>6.67</v>
      </c>
      <c r="I18" s="866">
        <v>6.7</v>
      </c>
      <c r="J18" s="865"/>
      <c r="K18" s="866"/>
      <c r="L18" s="867">
        <v>-2.5</v>
      </c>
      <c r="M18" s="865">
        <v>-2.5</v>
      </c>
      <c r="N18" s="865">
        <v>8.74</v>
      </c>
      <c r="O18" s="866">
        <v>8.83</v>
      </c>
      <c r="P18" s="867">
        <v>1.7</v>
      </c>
      <c r="Q18" s="865">
        <v>1.5</v>
      </c>
      <c r="R18" s="868" t="s">
        <v>620</v>
      </c>
      <c r="S18" s="869" t="s">
        <v>619</v>
      </c>
      <c r="T18" s="875">
        <f>2872/9.81</f>
        <v>292.76248725790009</v>
      </c>
      <c r="U18" s="876">
        <f>2768/9.81</f>
        <v>282.16106014271151</v>
      </c>
      <c r="V18" s="805" t="s">
        <v>636</v>
      </c>
      <c r="W18" s="780">
        <f>(T18+U18)/(T18+U18+T19+U19)*100</f>
        <v>45.425257731958766</v>
      </c>
      <c r="X18" s="879">
        <f>(T18+U19)/(T18+U18+T19+U19)*100</f>
        <v>50.048324742268044</v>
      </c>
      <c r="Y18" s="950" t="s">
        <v>649</v>
      </c>
      <c r="Z18" s="951"/>
      <c r="AA18" s="951"/>
      <c r="AB18" s="952"/>
    </row>
    <row r="19" spans="2:28" s="380" customFormat="1" x14ac:dyDescent="0.25">
      <c r="B19" s="860" t="s">
        <v>646</v>
      </c>
      <c r="C19" s="96" t="s">
        <v>612</v>
      </c>
      <c r="D19" s="677"/>
      <c r="E19" s="668"/>
      <c r="F19" s="863">
        <v>83.02</v>
      </c>
      <c r="G19" s="864">
        <v>83.02</v>
      </c>
      <c r="H19" s="870">
        <v>8.9499999999999993</v>
      </c>
      <c r="I19" s="871">
        <v>8.5399999999999991</v>
      </c>
      <c r="J19" s="870"/>
      <c r="K19" s="871"/>
      <c r="L19" s="872" t="s">
        <v>626</v>
      </c>
      <c r="M19" s="873" t="s">
        <v>625</v>
      </c>
      <c r="N19" s="870">
        <v>5.53</v>
      </c>
      <c r="O19" s="871">
        <v>5.52</v>
      </c>
      <c r="P19" s="874">
        <v>-1.6</v>
      </c>
      <c r="Q19" s="870">
        <v>-1.7</v>
      </c>
      <c r="R19" s="870" t="s">
        <v>628</v>
      </c>
      <c r="S19" s="871" t="s">
        <v>627</v>
      </c>
      <c r="T19" s="877">
        <f>3434/9.81</f>
        <v>350.05096839959225</v>
      </c>
      <c r="U19" s="878">
        <f>3342/9.81</f>
        <v>340.67278287461772</v>
      </c>
      <c r="V19" s="806" t="s">
        <v>637</v>
      </c>
      <c r="W19" s="802"/>
      <c r="X19" s="690"/>
      <c r="Y19" s="953" t="s">
        <v>647</v>
      </c>
      <c r="Z19" s="954"/>
      <c r="AA19" s="954"/>
      <c r="AB19" s="954"/>
    </row>
    <row r="20" spans="2:28" s="380" customFormat="1" x14ac:dyDescent="0.25">
      <c r="B20" s="94"/>
      <c r="C20" s="381"/>
      <c r="D20" s="672"/>
      <c r="E20" s="659"/>
      <c r="F20" s="672"/>
      <c r="G20" s="92"/>
      <c r="H20" s="92"/>
      <c r="I20" s="659"/>
      <c r="J20" s="92"/>
      <c r="K20" s="659"/>
      <c r="L20" s="779"/>
      <c r="M20" s="92"/>
      <c r="N20" s="92"/>
      <c r="O20" s="659"/>
      <c r="P20" s="672"/>
      <c r="Q20" s="92"/>
      <c r="R20" s="92"/>
      <c r="S20" s="659"/>
      <c r="T20" s="92"/>
      <c r="U20" s="659"/>
      <c r="V20" s="804"/>
      <c r="W20" s="92"/>
      <c r="X20" s="659"/>
    </row>
    <row r="21" spans="2:28" s="380" customFormat="1" x14ac:dyDescent="0.25">
      <c r="B21" s="94"/>
      <c r="C21" s="381" t="s">
        <v>615</v>
      </c>
      <c r="D21" s="676">
        <v>250.16</v>
      </c>
      <c r="E21" s="673">
        <v>250.93</v>
      </c>
      <c r="F21" s="665">
        <f>$B$3-(D21-$E$3)</f>
        <v>65.84</v>
      </c>
      <c r="G21" s="373">
        <f>$B$3-(E21-$E$3)</f>
        <v>65.069999999999993</v>
      </c>
      <c r="H21" s="373">
        <v>6.67</v>
      </c>
      <c r="I21" s="666">
        <v>6.7</v>
      </c>
      <c r="J21" s="373"/>
      <c r="K21" s="666"/>
      <c r="L21" s="687">
        <v>-2.5</v>
      </c>
      <c r="M21" s="373">
        <v>-2.5</v>
      </c>
      <c r="N21" s="373">
        <v>8.74</v>
      </c>
      <c r="O21" s="666">
        <v>8.83</v>
      </c>
      <c r="P21" s="687">
        <v>1.7</v>
      </c>
      <c r="Q21" s="373">
        <v>1.5</v>
      </c>
      <c r="R21" s="807" t="s">
        <v>620</v>
      </c>
      <c r="S21" s="808" t="s">
        <v>619</v>
      </c>
      <c r="T21" s="373">
        <v>229.9</v>
      </c>
      <c r="U21" s="666">
        <v>220.3</v>
      </c>
      <c r="V21" s="805" t="s">
        <v>635</v>
      </c>
      <c r="W21" s="780">
        <f>(T21+U21)/(T21+U21+T22+U22)*100</f>
        <v>42.91706387035272</v>
      </c>
      <c r="X21" s="781">
        <f>(T21+U22)/(T21+U21+T22+U22)*100</f>
        <v>50.591039084842713</v>
      </c>
      <c r="Y21" s="399" t="s">
        <v>618</v>
      </c>
      <c r="Z21" s="399"/>
    </row>
    <row r="22" spans="2:28" s="380" customFormat="1" x14ac:dyDescent="0.25">
      <c r="B22" s="95"/>
      <c r="C22" s="96" t="s">
        <v>613</v>
      </c>
      <c r="D22" s="677">
        <v>300.55</v>
      </c>
      <c r="E22" s="668">
        <v>300.5</v>
      </c>
      <c r="F22" s="669">
        <f>$B$5-(D22-$E$5)</f>
        <v>83.349999999999966</v>
      </c>
      <c r="G22" s="671">
        <f>$B$5-(E22-$E$5)</f>
        <v>83.399999999999977</v>
      </c>
      <c r="H22" s="671">
        <v>8.9499999999999993</v>
      </c>
      <c r="I22" s="670">
        <v>8.5399999999999991</v>
      </c>
      <c r="J22" s="671"/>
      <c r="K22" s="670"/>
      <c r="L22" s="709" t="s">
        <v>626</v>
      </c>
      <c r="M22" s="799" t="s">
        <v>625</v>
      </c>
      <c r="N22" s="671">
        <v>5.53</v>
      </c>
      <c r="O22" s="670">
        <v>5.52</v>
      </c>
      <c r="P22" s="688">
        <v>-1.6</v>
      </c>
      <c r="Q22" s="671">
        <v>-1.7</v>
      </c>
      <c r="R22" s="671" t="s">
        <v>628</v>
      </c>
      <c r="S22" s="670" t="s">
        <v>627</v>
      </c>
      <c r="T22" s="671">
        <v>298</v>
      </c>
      <c r="U22" s="670">
        <v>300.8</v>
      </c>
      <c r="V22" s="806" t="s">
        <v>629</v>
      </c>
      <c r="W22" s="802"/>
      <c r="X22" s="690"/>
      <c r="Y22" s="823" t="s">
        <v>633</v>
      </c>
      <c r="Z22" s="824"/>
      <c r="AA22" s="517"/>
    </row>
    <row r="23" spans="2:28" s="380" customFormat="1" x14ac:dyDescent="0.25">
      <c r="B23" s="94"/>
      <c r="C23" s="381"/>
      <c r="D23" s="672"/>
      <c r="E23" s="659"/>
      <c r="F23" s="672"/>
      <c r="G23" s="92"/>
      <c r="H23" s="92"/>
      <c r="I23" s="659"/>
      <c r="J23" s="92"/>
      <c r="K23" s="659"/>
      <c r="L23" s="779"/>
      <c r="M23" s="92"/>
      <c r="N23" s="92"/>
      <c r="O23" s="659"/>
      <c r="P23" s="672"/>
      <c r="Q23" s="92"/>
      <c r="R23" s="92"/>
      <c r="S23" s="659"/>
      <c r="T23" s="92"/>
      <c r="U23" s="659"/>
      <c r="V23" s="804"/>
      <c r="W23" s="92"/>
      <c r="X23" s="659"/>
      <c r="Y23" s="399"/>
      <c r="Z23" s="399"/>
    </row>
    <row r="24" spans="2:28" s="380" customFormat="1" x14ac:dyDescent="0.25">
      <c r="B24" s="94"/>
      <c r="C24" s="381" t="s">
        <v>585</v>
      </c>
      <c r="D24" s="676"/>
      <c r="E24" s="673"/>
      <c r="F24" s="665"/>
      <c r="G24" s="373"/>
      <c r="H24" s="373"/>
      <c r="I24" s="666"/>
      <c r="J24" s="373"/>
      <c r="K24" s="666"/>
      <c r="L24" s="687"/>
      <c r="M24" s="373"/>
      <c r="N24" s="373"/>
      <c r="O24" s="666"/>
      <c r="P24" s="687"/>
      <c r="Q24" s="373"/>
      <c r="R24" s="373"/>
      <c r="S24" s="666"/>
      <c r="T24" s="373"/>
      <c r="U24" s="666"/>
      <c r="V24" s="805"/>
      <c r="W24" s="780"/>
      <c r="X24" s="781"/>
      <c r="Y24" s="399"/>
      <c r="Z24" s="399"/>
    </row>
    <row r="25" spans="2:28" s="380" customFormat="1" x14ac:dyDescent="0.25">
      <c r="B25" s="95"/>
      <c r="C25" s="96" t="s">
        <v>613</v>
      </c>
      <c r="D25" s="677"/>
      <c r="E25" s="668"/>
      <c r="F25" s="669"/>
      <c r="G25" s="671"/>
      <c r="H25" s="671"/>
      <c r="I25" s="670"/>
      <c r="J25" s="671"/>
      <c r="K25" s="670"/>
      <c r="L25" s="688"/>
      <c r="M25" s="671"/>
      <c r="N25" s="671"/>
      <c r="O25" s="670"/>
      <c r="P25" s="688"/>
      <c r="Q25" s="671"/>
      <c r="R25" s="671"/>
      <c r="S25" s="670"/>
      <c r="T25" s="671"/>
      <c r="U25" s="670"/>
      <c r="V25" s="806"/>
      <c r="W25" s="802"/>
      <c r="X25" s="690"/>
      <c r="Y25" s="399"/>
      <c r="Z25" s="399"/>
    </row>
    <row r="26" spans="2:28" x14ac:dyDescent="0.25">
      <c r="B26" s="94"/>
      <c r="C26" s="381"/>
      <c r="D26" s="672"/>
      <c r="E26" s="659"/>
      <c r="F26" s="672"/>
      <c r="G26" s="92"/>
      <c r="H26" s="92"/>
      <c r="I26" s="659"/>
      <c r="J26" s="92"/>
      <c r="K26" s="659"/>
      <c r="L26" s="779"/>
      <c r="M26" s="92"/>
      <c r="N26" s="92"/>
      <c r="O26" s="659"/>
      <c r="P26" s="672"/>
      <c r="Q26" s="92"/>
      <c r="R26" s="92"/>
      <c r="S26" s="659"/>
      <c r="T26" s="92"/>
      <c r="U26" s="659"/>
      <c r="V26" s="804"/>
      <c r="W26" s="92"/>
      <c r="X26" s="659"/>
      <c r="Y26" s="399"/>
      <c r="Z26" s="399"/>
    </row>
    <row r="27" spans="2:28" x14ac:dyDescent="0.25">
      <c r="B27" s="834" t="s">
        <v>638</v>
      </c>
      <c r="C27" s="381" t="s">
        <v>582</v>
      </c>
      <c r="D27" s="831">
        <v>248.24</v>
      </c>
      <c r="E27" s="832">
        <v>248.63</v>
      </c>
      <c r="F27" s="665">
        <f>$B$3-(D27-$E$3)</f>
        <v>67.759999999999991</v>
      </c>
      <c r="G27" s="373">
        <f>$B$3-(E27-$E$3)</f>
        <v>67.37</v>
      </c>
      <c r="H27" s="373">
        <v>6.67</v>
      </c>
      <c r="I27" s="666">
        <v>6.7</v>
      </c>
      <c r="J27" s="373"/>
      <c r="K27" s="666"/>
      <c r="L27" s="687">
        <v>-2.5</v>
      </c>
      <c r="M27" s="373">
        <v>-2.5</v>
      </c>
      <c r="N27" s="373">
        <v>8.74</v>
      </c>
      <c r="O27" s="666">
        <v>8.83</v>
      </c>
      <c r="P27" s="687">
        <v>1.7</v>
      </c>
      <c r="Q27" s="373">
        <v>1.5</v>
      </c>
      <c r="R27" s="807" t="s">
        <v>620</v>
      </c>
      <c r="S27" s="808" t="s">
        <v>619</v>
      </c>
      <c r="T27" s="855">
        <v>451.8</v>
      </c>
      <c r="U27" s="856"/>
      <c r="V27" s="805" t="s">
        <v>636</v>
      </c>
      <c r="W27" s="780">
        <f>(T27+U27)/(T27+U27+T28+U28)*100</f>
        <v>43.188987668482945</v>
      </c>
      <c r="X27" s="781">
        <f>(T27+U28)/(T27+U27+T28+U28)*100</f>
        <v>43.188987668482945</v>
      </c>
      <c r="Y27" s="399"/>
      <c r="Z27" s="399"/>
    </row>
    <row r="28" spans="2:28" x14ac:dyDescent="0.25">
      <c r="B28" s="835" t="s">
        <v>639</v>
      </c>
      <c r="C28" s="96" t="s">
        <v>613</v>
      </c>
      <c r="D28" s="677">
        <v>300.55</v>
      </c>
      <c r="E28" s="668">
        <v>300.5</v>
      </c>
      <c r="F28" s="669">
        <f>$B$5-(D28-$E$5)</f>
        <v>83.349999999999966</v>
      </c>
      <c r="G28" s="671">
        <f>$B$5-(E28-$E$5)</f>
        <v>83.399999999999977</v>
      </c>
      <c r="H28" s="671">
        <v>8.9499999999999993</v>
      </c>
      <c r="I28" s="670">
        <v>8.5399999999999991</v>
      </c>
      <c r="J28" s="671"/>
      <c r="K28" s="670"/>
      <c r="L28" s="709" t="s">
        <v>626</v>
      </c>
      <c r="M28" s="799" t="s">
        <v>625</v>
      </c>
      <c r="N28" s="671">
        <v>5.53</v>
      </c>
      <c r="O28" s="670">
        <v>5.52</v>
      </c>
      <c r="P28" s="688">
        <v>-1.6</v>
      </c>
      <c r="Q28" s="671">
        <v>-1.7</v>
      </c>
      <c r="R28" s="671" t="s">
        <v>628</v>
      </c>
      <c r="S28" s="670" t="s">
        <v>627</v>
      </c>
      <c r="T28" s="857">
        <v>594.29999999999995</v>
      </c>
      <c r="U28" s="858"/>
      <c r="V28" s="806" t="s">
        <v>637</v>
      </c>
      <c r="W28" s="802"/>
      <c r="X28" s="690"/>
      <c r="Y28" s="399"/>
      <c r="Z28" s="399"/>
    </row>
    <row r="29" spans="2:28" x14ac:dyDescent="0.25">
      <c r="B29" s="94"/>
      <c r="C29" s="381"/>
      <c r="D29" s="672"/>
      <c r="E29" s="659"/>
      <c r="F29" s="672"/>
      <c r="G29" s="92"/>
      <c r="H29" s="92"/>
      <c r="I29" s="659"/>
      <c r="J29" s="92"/>
      <c r="K29" s="659"/>
      <c r="L29" s="779"/>
      <c r="M29" s="92"/>
      <c r="N29" s="92"/>
      <c r="O29" s="659"/>
      <c r="P29" s="672"/>
      <c r="Q29" s="92"/>
      <c r="R29" s="92"/>
      <c r="S29" s="659"/>
      <c r="T29" s="92"/>
      <c r="U29" s="659"/>
      <c r="V29" s="804"/>
      <c r="W29" s="92"/>
      <c r="X29" s="659"/>
      <c r="Y29" s="399"/>
      <c r="Z29" s="399"/>
    </row>
    <row r="30" spans="2:28" x14ac:dyDescent="0.25">
      <c r="B30" s="834"/>
      <c r="C30" s="381" t="s">
        <v>650</v>
      </c>
      <c r="D30" s="882">
        <v>251.29</v>
      </c>
      <c r="E30" s="883">
        <v>251.69</v>
      </c>
      <c r="F30" s="665">
        <f>$B$3-(D30-$E$3)</f>
        <v>64.710000000000008</v>
      </c>
      <c r="G30" s="373">
        <f>$B$3-(E30-$E$3)</f>
        <v>64.31</v>
      </c>
      <c r="H30" s="373">
        <v>6.67</v>
      </c>
      <c r="I30" s="666">
        <v>6.7</v>
      </c>
      <c r="J30" s="373"/>
      <c r="K30" s="666"/>
      <c r="L30" s="687">
        <v>-2.5</v>
      </c>
      <c r="M30" s="373">
        <v>-2.5</v>
      </c>
      <c r="N30" s="373">
        <v>8.74</v>
      </c>
      <c r="O30" s="666">
        <v>8.83</v>
      </c>
      <c r="P30" s="687">
        <v>1.7</v>
      </c>
      <c r="Q30" s="373">
        <v>1.5</v>
      </c>
      <c r="R30" s="807" t="s">
        <v>620</v>
      </c>
      <c r="S30" s="808" t="s">
        <v>619</v>
      </c>
      <c r="T30" s="855">
        <v>251.4</v>
      </c>
      <c r="U30" s="856">
        <v>256.10000000000002</v>
      </c>
      <c r="V30" s="805" t="s">
        <v>636</v>
      </c>
      <c r="W30" s="780">
        <f>(T30+U30)/(T30+U30+T31+U31)*100</f>
        <v>44.919454770755891</v>
      </c>
      <c r="X30" s="781">
        <f>(T30+U31)/(T30+U30+T31+U31)*100</f>
        <v>49.159143211187825</v>
      </c>
      <c r="Y30" s="399"/>
      <c r="Z30" s="399"/>
    </row>
    <row r="31" spans="2:28" x14ac:dyDescent="0.25">
      <c r="B31" s="835"/>
      <c r="C31" s="96" t="s">
        <v>651</v>
      </c>
      <c r="D31" s="677">
        <v>300.55</v>
      </c>
      <c r="E31" s="668">
        <v>300.5</v>
      </c>
      <c r="F31" s="669">
        <f>$B$5-(D31-$E$5)</f>
        <v>83.349999999999966</v>
      </c>
      <c r="G31" s="671">
        <f>$B$5-(E31-$E$5)</f>
        <v>83.399999999999977</v>
      </c>
      <c r="H31" s="671">
        <v>8.9499999999999993</v>
      </c>
      <c r="I31" s="670">
        <v>8.5399999999999991</v>
      </c>
      <c r="J31" s="671"/>
      <c r="K31" s="670"/>
      <c r="L31" s="709" t="s">
        <v>626</v>
      </c>
      <c r="M31" s="799" t="s">
        <v>625</v>
      </c>
      <c r="N31" s="671">
        <v>5.53</v>
      </c>
      <c r="O31" s="670">
        <v>5.52</v>
      </c>
      <c r="P31" s="688">
        <v>-1.6</v>
      </c>
      <c r="Q31" s="671">
        <v>-1.7</v>
      </c>
      <c r="R31" s="671" t="s">
        <v>628</v>
      </c>
      <c r="S31" s="670" t="s">
        <v>627</v>
      </c>
      <c r="T31" s="857">
        <v>318.3</v>
      </c>
      <c r="U31" s="858">
        <v>304</v>
      </c>
      <c r="V31" s="806" t="s">
        <v>637</v>
      </c>
      <c r="W31" s="802"/>
      <c r="X31" s="690"/>
      <c r="Y31" s="399"/>
      <c r="Z31" s="399"/>
    </row>
    <row r="32" spans="2:28" x14ac:dyDescent="0.25">
      <c r="B32" s="94"/>
      <c r="C32" s="381"/>
      <c r="D32" s="672"/>
      <c r="E32" s="659"/>
      <c r="F32" s="672"/>
      <c r="G32" s="92"/>
      <c r="H32" s="92"/>
      <c r="I32" s="659"/>
      <c r="J32" s="92"/>
      <c r="K32" s="659"/>
      <c r="L32" s="779"/>
      <c r="M32" s="92"/>
      <c r="N32" s="92"/>
      <c r="O32" s="659"/>
      <c r="P32" s="672"/>
      <c r="Q32" s="92"/>
      <c r="R32" s="92"/>
      <c r="S32" s="659"/>
      <c r="T32" s="92"/>
      <c r="U32" s="659"/>
      <c r="V32" s="804"/>
      <c r="W32" s="92"/>
      <c r="X32" s="659"/>
      <c r="Y32" s="399"/>
      <c r="Z32" s="399"/>
    </row>
    <row r="33" spans="2:27" x14ac:dyDescent="0.25">
      <c r="B33" s="834"/>
      <c r="C33" s="381" t="s">
        <v>652</v>
      </c>
      <c r="D33" s="882">
        <v>250.1</v>
      </c>
      <c r="E33" s="883">
        <v>250.57</v>
      </c>
      <c r="F33" s="665">
        <f>$B$3-(D33-$E$3)</f>
        <v>65.900000000000006</v>
      </c>
      <c r="G33" s="373">
        <f>$B$3-(E33-$E$3)</f>
        <v>65.430000000000007</v>
      </c>
      <c r="H33" s="373">
        <v>8.11</v>
      </c>
      <c r="I33" s="666">
        <v>8.3699999999999992</v>
      </c>
      <c r="J33" s="373"/>
      <c r="K33" s="666"/>
      <c r="L33" s="687">
        <v>-2.5</v>
      </c>
      <c r="M33" s="373">
        <v>-2.5</v>
      </c>
      <c r="N33" s="373">
        <v>8.74</v>
      </c>
      <c r="O33" s="666">
        <v>8.83</v>
      </c>
      <c r="P33" s="687">
        <v>1.7</v>
      </c>
      <c r="Q33" s="373">
        <v>1.5</v>
      </c>
      <c r="R33" s="807" t="s">
        <v>620</v>
      </c>
      <c r="S33" s="808" t="s">
        <v>619</v>
      </c>
      <c r="T33" s="855">
        <v>251.4</v>
      </c>
      <c r="U33" s="856">
        <v>256.10000000000002</v>
      </c>
      <c r="V33" s="805" t="s">
        <v>636</v>
      </c>
      <c r="W33" s="780">
        <f>(T33+U33)/(T33+U33+T34+U34)*100</f>
        <v>44.919454770755891</v>
      </c>
      <c r="X33" s="781">
        <f>(T33+U34)/(T33+U33+T34+U34)*100</f>
        <v>49.159143211187825</v>
      </c>
      <c r="Y33" s="399"/>
      <c r="Z33" s="399"/>
    </row>
    <row r="34" spans="2:27" x14ac:dyDescent="0.25">
      <c r="B34" s="835"/>
      <c r="C34" s="96" t="s">
        <v>651</v>
      </c>
      <c r="D34" s="677">
        <v>300.55</v>
      </c>
      <c r="E34" s="668">
        <v>300.5</v>
      </c>
      <c r="F34" s="669">
        <f>$B$5-(D34-$E$5)</f>
        <v>83.349999999999966</v>
      </c>
      <c r="G34" s="671">
        <f>$B$5-(E34-$E$5)</f>
        <v>83.399999999999977</v>
      </c>
      <c r="H34" s="671">
        <v>8.9499999999999993</v>
      </c>
      <c r="I34" s="670">
        <v>8.5399999999999991</v>
      </c>
      <c r="J34" s="671"/>
      <c r="K34" s="670"/>
      <c r="L34" s="709" t="s">
        <v>626</v>
      </c>
      <c r="M34" s="799" t="s">
        <v>625</v>
      </c>
      <c r="N34" s="671">
        <v>5.53</v>
      </c>
      <c r="O34" s="670">
        <v>5.52</v>
      </c>
      <c r="P34" s="688">
        <v>-1.6</v>
      </c>
      <c r="Q34" s="671">
        <v>-1.7</v>
      </c>
      <c r="R34" s="671" t="s">
        <v>628</v>
      </c>
      <c r="S34" s="670" t="s">
        <v>627</v>
      </c>
      <c r="T34" s="857">
        <v>318.3</v>
      </c>
      <c r="U34" s="858">
        <v>304</v>
      </c>
      <c r="V34" s="806" t="s">
        <v>637</v>
      </c>
      <c r="W34" s="802"/>
      <c r="X34" s="690"/>
      <c r="Y34" s="399"/>
      <c r="Z34" s="399"/>
    </row>
    <row r="35" spans="2:27" x14ac:dyDescent="0.25">
      <c r="B35" s="94"/>
      <c r="C35" s="381"/>
      <c r="D35" s="672"/>
      <c r="E35" s="659"/>
      <c r="F35" s="672"/>
      <c r="G35" s="92"/>
      <c r="H35" s="92"/>
      <c r="I35" s="659"/>
      <c r="J35" s="92"/>
      <c r="K35" s="659"/>
      <c r="L35" s="779"/>
      <c r="M35" s="92"/>
      <c r="N35" s="92"/>
      <c r="O35" s="659"/>
      <c r="P35" s="672"/>
      <c r="Q35" s="92"/>
      <c r="R35" s="92"/>
      <c r="S35" s="659"/>
      <c r="T35" s="92"/>
      <c r="U35" s="659"/>
      <c r="V35" s="804"/>
      <c r="W35" s="92"/>
      <c r="X35" s="659"/>
      <c r="Y35" s="823" t="s">
        <v>633</v>
      </c>
      <c r="Z35" s="824"/>
      <c r="AA35" s="517"/>
    </row>
    <row r="36" spans="2:27" x14ac:dyDescent="0.25">
      <c r="B36" s="834"/>
      <c r="C36" s="381" t="s">
        <v>653</v>
      </c>
      <c r="D36" s="882">
        <v>250.82</v>
      </c>
      <c r="E36" s="883">
        <v>250.68</v>
      </c>
      <c r="F36" s="665">
        <f>$B$3-(D36-$E$3)</f>
        <v>65.180000000000007</v>
      </c>
      <c r="G36" s="373">
        <f>$B$3-(E36-$E$3)</f>
        <v>65.319999999999993</v>
      </c>
      <c r="H36" s="373">
        <v>8</v>
      </c>
      <c r="I36" s="666">
        <v>7.85</v>
      </c>
      <c r="J36" s="373"/>
      <c r="K36" s="666"/>
      <c r="L36" s="687">
        <v>-2.5</v>
      </c>
      <c r="M36" s="373">
        <v>-2.8</v>
      </c>
      <c r="N36" s="886">
        <v>8.65</v>
      </c>
      <c r="O36" s="887">
        <v>8.6999999999999993</v>
      </c>
      <c r="P36" s="687">
        <v>1.5</v>
      </c>
      <c r="Q36" s="373">
        <v>1.4</v>
      </c>
      <c r="R36" s="893" t="s">
        <v>620</v>
      </c>
      <c r="S36" s="888" t="s">
        <v>619</v>
      </c>
      <c r="T36" s="855">
        <v>250.7</v>
      </c>
      <c r="U36" s="856">
        <v>255.4</v>
      </c>
      <c r="V36" s="805" t="s">
        <v>636</v>
      </c>
      <c r="W36" s="780">
        <f>(T36+U36)/(T36+U36+T37+U37)*100</f>
        <v>45.090876692801139</v>
      </c>
      <c r="X36" s="781">
        <f>(T36+U37)/(T36+U36+T37+U37)*100</f>
        <v>49.144689950106901</v>
      </c>
      <c r="Y36" s="884" t="s">
        <v>654</v>
      </c>
      <c r="Z36" s="399"/>
    </row>
    <row r="37" spans="2:27" x14ac:dyDescent="0.25">
      <c r="B37" s="835"/>
      <c r="C37" s="96" t="s">
        <v>651</v>
      </c>
      <c r="D37" s="677">
        <v>296.23</v>
      </c>
      <c r="E37" s="668">
        <v>295.95</v>
      </c>
      <c r="F37" s="669">
        <f>$B$5-(D37-$E$5)</f>
        <v>87.669999999999959</v>
      </c>
      <c r="G37" s="671">
        <f>$B$5-(E37-$E$5)</f>
        <v>87.949999999999989</v>
      </c>
      <c r="H37" s="671">
        <v>9.6999999999999993</v>
      </c>
      <c r="I37" s="670">
        <v>9.58</v>
      </c>
      <c r="J37" s="671"/>
      <c r="K37" s="670"/>
      <c r="L37" s="709">
        <v>-2.1</v>
      </c>
      <c r="M37" s="799">
        <v>-1.9</v>
      </c>
      <c r="N37" s="892">
        <v>5.5</v>
      </c>
      <c r="O37" s="890">
        <v>5.47</v>
      </c>
      <c r="P37" s="688">
        <v>-1.5</v>
      </c>
      <c r="Q37" s="671">
        <v>-1.5</v>
      </c>
      <c r="R37" s="891" t="s">
        <v>658</v>
      </c>
      <c r="S37" s="889" t="s">
        <v>657</v>
      </c>
      <c r="T37" s="857">
        <v>315.39999999999998</v>
      </c>
      <c r="U37" s="858">
        <v>300.89999999999998</v>
      </c>
      <c r="V37" s="806" t="s">
        <v>637</v>
      </c>
      <c r="W37" s="802"/>
      <c r="X37" s="690"/>
      <c r="Y37" s="885">
        <v>1122.4000000000001</v>
      </c>
    </row>
    <row r="38" spans="2:27" x14ac:dyDescent="0.25">
      <c r="B38" s="94"/>
      <c r="C38" s="381"/>
      <c r="D38" s="672"/>
      <c r="E38" s="659"/>
      <c r="F38" s="672"/>
      <c r="G38" s="92"/>
      <c r="H38" s="92"/>
      <c r="I38" s="659"/>
      <c r="J38" s="92"/>
      <c r="K38" s="659"/>
      <c r="L38" s="779"/>
      <c r="M38" s="92"/>
      <c r="N38" s="92"/>
      <c r="O38" s="659"/>
      <c r="P38" s="672"/>
      <c r="Q38" s="92"/>
      <c r="R38" s="92"/>
      <c r="S38" s="659"/>
      <c r="T38" s="92"/>
      <c r="U38" s="659"/>
      <c r="V38" s="804"/>
      <c r="W38" s="92"/>
      <c r="X38" s="659"/>
      <c r="Y38" s="823" t="s">
        <v>661</v>
      </c>
      <c r="Z38" s="824"/>
      <c r="AA38" s="517"/>
    </row>
    <row r="39" spans="2:27" x14ac:dyDescent="0.25">
      <c r="B39" s="834"/>
      <c r="C39" s="82" t="s">
        <v>655</v>
      </c>
      <c r="D39" s="882">
        <v>249.13</v>
      </c>
      <c r="E39" s="883">
        <v>248.97</v>
      </c>
      <c r="F39" s="906">
        <f>$B$3-(D39-$E$3)</f>
        <v>66.87</v>
      </c>
      <c r="G39" s="901">
        <f>$B$3-(E39-$E$3)</f>
        <v>67.03</v>
      </c>
      <c r="H39" s="901">
        <v>8</v>
      </c>
      <c r="I39" s="907">
        <v>7.85</v>
      </c>
      <c r="J39" s="373"/>
      <c r="K39" s="666"/>
      <c r="L39" s="900">
        <v>-2.2000000000000002</v>
      </c>
      <c r="M39" s="901">
        <v>-2.2000000000000002</v>
      </c>
      <c r="N39" s="894">
        <v>9.9</v>
      </c>
      <c r="O39" s="895">
        <v>9.9</v>
      </c>
      <c r="P39" s="900">
        <v>2.4</v>
      </c>
      <c r="Q39" s="901">
        <v>2.5</v>
      </c>
      <c r="R39" s="898">
        <v>13.81</v>
      </c>
      <c r="S39" s="899">
        <v>13.35</v>
      </c>
      <c r="T39" s="910">
        <v>251</v>
      </c>
      <c r="U39" s="911">
        <v>252.1</v>
      </c>
      <c r="V39" s="805" t="s">
        <v>636</v>
      </c>
      <c r="W39" s="780">
        <f>(T39+U39)/(T39+U39+T40+U40)*100</f>
        <v>44.963803735811958</v>
      </c>
      <c r="X39" s="781">
        <f>(T39+U40)/(T39+U39+T40+U40)*100</f>
        <v>49.584413263026178</v>
      </c>
      <c r="Y39" s="884" t="s">
        <v>654</v>
      </c>
      <c r="Z39" s="399"/>
      <c r="AA39" s="380"/>
    </row>
    <row r="40" spans="2:27" x14ac:dyDescent="0.25">
      <c r="B40" s="835"/>
      <c r="C40" s="96" t="s">
        <v>656</v>
      </c>
      <c r="D40" s="677">
        <v>297.35000000000002</v>
      </c>
      <c r="E40" s="668">
        <v>297.33999999999997</v>
      </c>
      <c r="F40" s="908">
        <f>$B$5-(D40-$E$5)</f>
        <v>86.549999999999955</v>
      </c>
      <c r="G40" s="905">
        <f>$B$5-(E40-$E$5)</f>
        <v>86.56</v>
      </c>
      <c r="H40" s="905">
        <v>9.6999999999999993</v>
      </c>
      <c r="I40" s="909">
        <v>9.58</v>
      </c>
      <c r="J40" s="671"/>
      <c r="K40" s="670"/>
      <c r="L40" s="902">
        <v>-1.8</v>
      </c>
      <c r="M40" s="903">
        <v>-1.5</v>
      </c>
      <c r="N40" s="896">
        <v>6.38</v>
      </c>
      <c r="O40" s="897">
        <v>7.3</v>
      </c>
      <c r="P40" s="904">
        <v>-1.1000000000000001</v>
      </c>
      <c r="Q40" s="905">
        <v>-1</v>
      </c>
      <c r="R40" s="896" t="s">
        <v>660</v>
      </c>
      <c r="S40" s="897" t="s">
        <v>659</v>
      </c>
      <c r="T40" s="912">
        <v>312</v>
      </c>
      <c r="U40" s="913">
        <v>303.8</v>
      </c>
      <c r="V40" s="806" t="s">
        <v>637</v>
      </c>
      <c r="W40" s="802"/>
      <c r="X40" s="690"/>
      <c r="Y40" s="885">
        <v>1118.9000000000001</v>
      </c>
      <c r="AA40" s="380"/>
    </row>
    <row r="41" spans="2:27" x14ac:dyDescent="0.25">
      <c r="R41" s="180"/>
      <c r="S41" s="180"/>
    </row>
  </sheetData>
  <mergeCells count="4">
    <mergeCell ref="AB10:AC10"/>
    <mergeCell ref="Y18:AB18"/>
    <mergeCell ref="Y19:AB19"/>
    <mergeCell ref="Y17:AB17"/>
  </mergeCells>
  <pageMargins left="0.7" right="0.7" top="0.75" bottom="0.75" header="0.3" footer="0.3"/>
  <pageSetup paperSize="9" orientation="portrait" r:id="rId1"/>
  <ignoredErrors>
    <ignoredError sqref="R15:S15 R21:S21 R27:S27 R18:S18 R30:S30 R33:S33 R36:S36" numberStoredAsText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dimension ref="B2:AM42"/>
  <sheetViews>
    <sheetView showGridLines="0" zoomScale="85" zoomScaleNormal="85" workbookViewId="0"/>
  </sheetViews>
  <sheetFormatPr defaultColWidth="9.140625" defaultRowHeight="12.75" x14ac:dyDescent="0.2"/>
  <cols>
    <col min="1" max="1" width="3.7109375" style="1" customWidth="1"/>
    <col min="2" max="16384" width="9.140625" style="1"/>
  </cols>
  <sheetData>
    <row r="2" spans="2:39" x14ac:dyDescent="0.2">
      <c r="B2" s="357" t="s">
        <v>248</v>
      </c>
      <c r="C2" s="357"/>
      <c r="D2" s="357"/>
      <c r="E2" s="357"/>
      <c r="F2" s="357"/>
      <c r="G2" s="357"/>
      <c r="K2" s="357" t="s">
        <v>455</v>
      </c>
      <c r="L2" s="357"/>
      <c r="M2" s="357"/>
      <c r="N2" s="357"/>
      <c r="O2" s="357"/>
      <c r="P2" s="357"/>
      <c r="T2" s="604" t="s">
        <v>459</v>
      </c>
      <c r="U2" s="604"/>
      <c r="V2" s="604"/>
      <c r="W2" s="604"/>
      <c r="X2" s="604"/>
      <c r="Y2" s="604"/>
      <c r="Z2" s="604"/>
      <c r="AA2" s="604"/>
      <c r="AB2" s="604"/>
      <c r="AC2" s="604"/>
      <c r="AD2" s="604"/>
    </row>
    <row r="3" spans="2:39" ht="13.5" thickBot="1" x14ac:dyDescent="0.25"/>
    <row r="4" spans="2:39" ht="15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2" t="s">
        <v>57</v>
      </c>
      <c r="L4" s="573" t="s">
        <v>58</v>
      </c>
      <c r="M4" s="574"/>
      <c r="N4" s="575"/>
      <c r="O4" s="575"/>
      <c r="P4" s="575"/>
      <c r="Q4" s="575"/>
      <c r="R4" s="576"/>
      <c r="T4" s="572" t="s">
        <v>57</v>
      </c>
      <c r="U4" s="573" t="s">
        <v>58</v>
      </c>
      <c r="V4" s="574"/>
      <c r="W4" s="575"/>
      <c r="X4" s="575"/>
      <c r="Y4" s="575"/>
      <c r="Z4" s="575"/>
      <c r="AA4" s="576"/>
    </row>
    <row r="5" spans="2:39" ht="15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7" t="s">
        <v>59</v>
      </c>
      <c r="L5" s="578">
        <v>30</v>
      </c>
      <c r="M5" s="578">
        <v>40</v>
      </c>
      <c r="N5" s="578">
        <v>50</v>
      </c>
      <c r="O5" s="578">
        <v>60</v>
      </c>
      <c r="P5" s="578">
        <v>70</v>
      </c>
      <c r="Q5" s="578">
        <v>80</v>
      </c>
      <c r="R5" s="579">
        <v>90</v>
      </c>
      <c r="T5" s="577" t="s">
        <v>59</v>
      </c>
      <c r="U5" s="578">
        <v>30</v>
      </c>
      <c r="V5" s="578">
        <v>40</v>
      </c>
      <c r="W5" s="578">
        <v>50</v>
      </c>
      <c r="X5" s="578">
        <v>60</v>
      </c>
      <c r="Y5" s="578">
        <v>70</v>
      </c>
      <c r="Z5" s="578">
        <v>80</v>
      </c>
      <c r="AA5" s="579">
        <v>90</v>
      </c>
    </row>
    <row r="6" spans="2:39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80">
        <v>30</v>
      </c>
      <c r="L6" s="581">
        <v>1.1100000000000001</v>
      </c>
      <c r="M6" s="581">
        <v>1.1399999999999999</v>
      </c>
      <c r="N6" s="581">
        <v>1.171</v>
      </c>
      <c r="O6" s="581">
        <v>1.198</v>
      </c>
      <c r="P6" s="581">
        <v>1.224</v>
      </c>
      <c r="Q6" s="581">
        <v>1.236</v>
      </c>
      <c r="R6" s="582">
        <v>1.2589999999999999</v>
      </c>
      <c r="T6" s="580">
        <v>30</v>
      </c>
      <c r="U6" s="581">
        <f>L6-0.09-0.029</f>
        <v>0.99099999999999999</v>
      </c>
      <c r="V6" s="581">
        <f t="shared" ref="V6:AA6" si="0">M6-0.09-0.029</f>
        <v>1.0209999999999999</v>
      </c>
      <c r="W6" s="581">
        <f t="shared" si="0"/>
        <v>1.052</v>
      </c>
      <c r="X6" s="581">
        <f t="shared" si="0"/>
        <v>1.079</v>
      </c>
      <c r="Y6" s="581">
        <f t="shared" si="0"/>
        <v>1.105</v>
      </c>
      <c r="Z6" s="581">
        <f t="shared" si="0"/>
        <v>1.117</v>
      </c>
      <c r="AA6" s="582">
        <f t="shared" si="0"/>
        <v>1.1399999999999999</v>
      </c>
      <c r="AF6" s="1">
        <f t="shared" ref="AF6:AM10" si="1">T6</f>
        <v>30</v>
      </c>
      <c r="AG6" s="615">
        <f t="shared" si="1"/>
        <v>0.99099999999999999</v>
      </c>
      <c r="AH6" s="615">
        <f t="shared" si="1"/>
        <v>1.0209999999999999</v>
      </c>
      <c r="AI6" s="615">
        <f t="shared" si="1"/>
        <v>1.052</v>
      </c>
      <c r="AJ6" s="615">
        <f t="shared" si="1"/>
        <v>1.079</v>
      </c>
      <c r="AK6" s="615">
        <f t="shared" si="1"/>
        <v>1.105</v>
      </c>
      <c r="AL6" s="615">
        <f t="shared" si="1"/>
        <v>1.117</v>
      </c>
      <c r="AM6" s="615">
        <f t="shared" si="1"/>
        <v>1.1399999999999999</v>
      </c>
    </row>
    <row r="7" spans="2:39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80">
        <v>40</v>
      </c>
      <c r="L7" s="581">
        <v>1.1180000000000001</v>
      </c>
      <c r="M7" s="581">
        <v>1.161</v>
      </c>
      <c r="N7" s="581">
        <v>1.1859999999999999</v>
      </c>
      <c r="O7" s="581">
        <v>1.2030000000000001</v>
      </c>
      <c r="P7" s="581">
        <v>1.22</v>
      </c>
      <c r="Q7" s="581">
        <v>1.2350000000000001</v>
      </c>
      <c r="R7" s="582">
        <v>1.264</v>
      </c>
      <c r="T7" s="580">
        <v>40</v>
      </c>
      <c r="U7" s="581">
        <f>L7-0.09-0.029</f>
        <v>0.999</v>
      </c>
      <c r="V7" s="581">
        <f t="shared" ref="V7:AA10" si="2">M7-0.09-0.029</f>
        <v>1.042</v>
      </c>
      <c r="W7" s="581">
        <f t="shared" si="2"/>
        <v>1.0669999999999999</v>
      </c>
      <c r="X7" s="581">
        <f t="shared" si="2"/>
        <v>1.0840000000000001</v>
      </c>
      <c r="Y7" s="581">
        <f t="shared" si="2"/>
        <v>1.101</v>
      </c>
      <c r="Z7" s="581">
        <f t="shared" si="2"/>
        <v>1.1160000000000001</v>
      </c>
      <c r="AA7" s="582">
        <f t="shared" si="2"/>
        <v>1.145</v>
      </c>
      <c r="AF7" s="1">
        <f t="shared" si="1"/>
        <v>40</v>
      </c>
      <c r="AG7" s="615">
        <f t="shared" si="1"/>
        <v>0.999</v>
      </c>
      <c r="AH7" s="615">
        <f t="shared" si="1"/>
        <v>1.042</v>
      </c>
      <c r="AI7" s="615">
        <f t="shared" si="1"/>
        <v>1.0669999999999999</v>
      </c>
      <c r="AJ7" s="615">
        <f t="shared" si="1"/>
        <v>1.0840000000000001</v>
      </c>
      <c r="AK7" s="615">
        <f t="shared" si="1"/>
        <v>1.101</v>
      </c>
      <c r="AL7" s="615">
        <f t="shared" si="1"/>
        <v>1.1160000000000001</v>
      </c>
      <c r="AM7" s="615">
        <f t="shared" si="1"/>
        <v>1.145</v>
      </c>
    </row>
    <row r="8" spans="2:39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80">
        <v>50</v>
      </c>
      <c r="L8" s="581">
        <v>1.1180000000000001</v>
      </c>
      <c r="M8" s="581">
        <v>1.165</v>
      </c>
      <c r="N8" s="581">
        <v>1.194</v>
      </c>
      <c r="O8" s="581">
        <v>1.2130000000000001</v>
      </c>
      <c r="P8" s="581">
        <v>1.2370000000000001</v>
      </c>
      <c r="Q8" s="581">
        <v>1.256</v>
      </c>
      <c r="R8" s="582">
        <v>1.274</v>
      </c>
      <c r="T8" s="580">
        <v>50</v>
      </c>
      <c r="U8" s="581">
        <f>L8-0.09-0.029</f>
        <v>0.999</v>
      </c>
      <c r="V8" s="581">
        <f t="shared" si="2"/>
        <v>1.046</v>
      </c>
      <c r="W8" s="581">
        <f t="shared" si="2"/>
        <v>1.075</v>
      </c>
      <c r="X8" s="581">
        <f t="shared" si="2"/>
        <v>1.0940000000000001</v>
      </c>
      <c r="Y8" s="581">
        <f t="shared" si="2"/>
        <v>1.1180000000000001</v>
      </c>
      <c r="Z8" s="581">
        <f t="shared" si="2"/>
        <v>1.137</v>
      </c>
      <c r="AA8" s="582">
        <f t="shared" si="2"/>
        <v>1.155</v>
      </c>
      <c r="AF8" s="1">
        <f t="shared" si="1"/>
        <v>50</v>
      </c>
      <c r="AG8" s="615">
        <f t="shared" si="1"/>
        <v>0.999</v>
      </c>
      <c r="AH8" s="615">
        <f t="shared" si="1"/>
        <v>1.046</v>
      </c>
      <c r="AI8" s="615">
        <f t="shared" si="1"/>
        <v>1.075</v>
      </c>
      <c r="AJ8" s="615">
        <f t="shared" si="1"/>
        <v>1.0940000000000001</v>
      </c>
      <c r="AK8" s="615">
        <f t="shared" si="1"/>
        <v>1.1180000000000001</v>
      </c>
      <c r="AL8" s="615">
        <f t="shared" si="1"/>
        <v>1.137</v>
      </c>
      <c r="AM8" s="615">
        <f t="shared" si="1"/>
        <v>1.155</v>
      </c>
    </row>
    <row r="9" spans="2:39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80">
        <v>60</v>
      </c>
      <c r="L9" s="581">
        <v>1.117</v>
      </c>
      <c r="M9" s="581">
        <v>1.1599999999999999</v>
      </c>
      <c r="N9" s="581">
        <v>1.1879999999999999</v>
      </c>
      <c r="O9" s="581">
        <v>1.212</v>
      </c>
      <c r="P9" s="581">
        <v>1.234</v>
      </c>
      <c r="Q9" s="581">
        <v>1.254</v>
      </c>
      <c r="R9" s="582">
        <v>1.2749999999999999</v>
      </c>
      <c r="T9" s="580">
        <v>60</v>
      </c>
      <c r="U9" s="581">
        <f>L9-0.09-0.029</f>
        <v>0.99799999999999989</v>
      </c>
      <c r="V9" s="581">
        <f t="shared" si="2"/>
        <v>1.0409999999999999</v>
      </c>
      <c r="W9" s="581">
        <f t="shared" si="2"/>
        <v>1.069</v>
      </c>
      <c r="X9" s="581">
        <f t="shared" si="2"/>
        <v>1.093</v>
      </c>
      <c r="Y9" s="581">
        <f t="shared" si="2"/>
        <v>1.115</v>
      </c>
      <c r="Z9" s="581">
        <f t="shared" si="2"/>
        <v>1.135</v>
      </c>
      <c r="AA9" s="582">
        <f t="shared" si="2"/>
        <v>1.1559999999999999</v>
      </c>
      <c r="AF9" s="1">
        <f t="shared" si="1"/>
        <v>60</v>
      </c>
      <c r="AG9" s="615">
        <f t="shared" si="1"/>
        <v>0.99799999999999989</v>
      </c>
      <c r="AH9" s="615">
        <f t="shared" si="1"/>
        <v>1.0409999999999999</v>
      </c>
      <c r="AI9" s="615">
        <f t="shared" si="1"/>
        <v>1.069</v>
      </c>
      <c r="AJ9" s="615">
        <f t="shared" si="1"/>
        <v>1.093</v>
      </c>
      <c r="AK9" s="615">
        <f t="shared" si="1"/>
        <v>1.115</v>
      </c>
      <c r="AL9" s="615">
        <f t="shared" si="1"/>
        <v>1.135</v>
      </c>
      <c r="AM9" s="615">
        <f t="shared" si="1"/>
        <v>1.1559999999999999</v>
      </c>
    </row>
    <row r="10" spans="2:39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3">
        <v>70</v>
      </c>
      <c r="L10" s="584">
        <v>1.109</v>
      </c>
      <c r="M10" s="584">
        <v>1.155</v>
      </c>
      <c r="N10" s="584">
        <v>1.1859999999999999</v>
      </c>
      <c r="O10" s="584">
        <v>1.212</v>
      </c>
      <c r="P10" s="584">
        <v>1.2330000000000001</v>
      </c>
      <c r="Q10" s="584">
        <v>1.2529999999999999</v>
      </c>
      <c r="R10" s="585">
        <v>1.2749999999999999</v>
      </c>
      <c r="T10" s="583">
        <v>70</v>
      </c>
      <c r="U10" s="584">
        <f>L10-0.09-0.029</f>
        <v>0.98999999999999988</v>
      </c>
      <c r="V10" s="584">
        <f t="shared" si="2"/>
        <v>1.036</v>
      </c>
      <c r="W10" s="584">
        <f t="shared" si="2"/>
        <v>1.0669999999999999</v>
      </c>
      <c r="X10" s="584">
        <f t="shared" si="2"/>
        <v>1.093</v>
      </c>
      <c r="Y10" s="584">
        <f t="shared" si="2"/>
        <v>1.1140000000000001</v>
      </c>
      <c r="Z10" s="584">
        <f t="shared" si="2"/>
        <v>1.1339999999999999</v>
      </c>
      <c r="AA10" s="585">
        <f t="shared" si="2"/>
        <v>1.1559999999999999</v>
      </c>
      <c r="AF10" s="1">
        <f t="shared" si="1"/>
        <v>70</v>
      </c>
      <c r="AG10" s="615">
        <f t="shared" si="1"/>
        <v>0.98999999999999988</v>
      </c>
      <c r="AH10" s="615">
        <f t="shared" si="1"/>
        <v>1.036</v>
      </c>
      <c r="AI10" s="615">
        <f t="shared" si="1"/>
        <v>1.0669999999999999</v>
      </c>
      <c r="AJ10" s="615">
        <f t="shared" si="1"/>
        <v>1.093</v>
      </c>
      <c r="AK10" s="615">
        <f t="shared" si="1"/>
        <v>1.1140000000000001</v>
      </c>
      <c r="AL10" s="615">
        <f t="shared" si="1"/>
        <v>1.1339999999999999</v>
      </c>
      <c r="AM10" s="615">
        <f t="shared" si="1"/>
        <v>1.1559999999999999</v>
      </c>
    </row>
    <row r="11" spans="2:39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6"/>
      <c r="L11" s="586"/>
      <c r="M11" s="586"/>
      <c r="N11" s="586"/>
      <c r="O11" s="586"/>
      <c r="P11" s="586"/>
      <c r="Q11" s="586"/>
      <c r="R11" s="586"/>
      <c r="T11" s="586"/>
      <c r="U11" s="586"/>
      <c r="V11" s="586"/>
      <c r="W11" s="586"/>
      <c r="X11" s="586"/>
      <c r="Y11" s="586"/>
      <c r="Z11" s="586"/>
      <c r="AA11" s="586"/>
    </row>
    <row r="12" spans="2:39" ht="15" x14ac:dyDescent="0.25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2" t="s">
        <v>60</v>
      </c>
      <c r="L12" s="573" t="s">
        <v>58</v>
      </c>
      <c r="M12" s="574"/>
      <c r="N12" s="575"/>
      <c r="O12" s="575"/>
      <c r="P12" s="575"/>
      <c r="Q12" s="575"/>
      <c r="R12" s="576"/>
      <c r="T12" s="605" t="s">
        <v>60</v>
      </c>
      <c r="U12" s="606" t="s">
        <v>58</v>
      </c>
      <c r="V12" s="607"/>
      <c r="W12" s="608"/>
      <c r="X12" s="608"/>
      <c r="Y12" s="608"/>
      <c r="Z12" s="608"/>
      <c r="AA12" s="609"/>
    </row>
    <row r="13" spans="2:39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7" t="s">
        <v>59</v>
      </c>
      <c r="L13" s="578">
        <v>30</v>
      </c>
      <c r="M13" s="578">
        <v>40</v>
      </c>
      <c r="N13" s="578">
        <v>50</v>
      </c>
      <c r="O13" s="578">
        <v>60</v>
      </c>
      <c r="P13" s="578">
        <v>70</v>
      </c>
      <c r="Q13" s="578">
        <v>80</v>
      </c>
      <c r="R13" s="579">
        <v>90</v>
      </c>
      <c r="T13" s="612" t="s">
        <v>59</v>
      </c>
      <c r="U13" s="610">
        <v>30</v>
      </c>
      <c r="V13" s="610">
        <v>40</v>
      </c>
      <c r="W13" s="610">
        <v>50</v>
      </c>
      <c r="X13" s="610">
        <v>60</v>
      </c>
      <c r="Y13" s="610">
        <v>70</v>
      </c>
      <c r="Z13" s="610">
        <v>80</v>
      </c>
      <c r="AA13" s="611">
        <v>90</v>
      </c>
    </row>
    <row r="14" spans="2:39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80">
        <v>30</v>
      </c>
      <c r="L14" s="587">
        <v>0.43320561941251595</v>
      </c>
      <c r="M14" s="588">
        <v>0.44678277697145619</v>
      </c>
      <c r="N14" s="588">
        <v>0.46261682242990659</v>
      </c>
      <c r="O14" s="588">
        <v>0.47783808231569419</v>
      </c>
      <c r="P14" s="588">
        <v>0.4963487497233901</v>
      </c>
      <c r="Q14" s="588">
        <v>0.51033591731266148</v>
      </c>
      <c r="R14" s="589">
        <v>0.52282676672920569</v>
      </c>
      <c r="T14" s="613">
        <v>30</v>
      </c>
      <c r="U14" s="587">
        <f>U30/U22</f>
        <v>0.46201078206766166</v>
      </c>
      <c r="V14" s="588">
        <f t="shared" ref="V14:AA14" si="3">V30/V22</f>
        <v>0.47573298166354577</v>
      </c>
      <c r="W14" s="588">
        <f t="shared" si="3"/>
        <v>0.49168115222249825</v>
      </c>
      <c r="X14" s="588">
        <f t="shared" si="3"/>
        <v>0.50695655720595667</v>
      </c>
      <c r="Y14" s="588">
        <f t="shared" si="3"/>
        <v>0.52546009970388696</v>
      </c>
      <c r="Z14" s="588">
        <f t="shared" si="3"/>
        <v>0.53938905654709068</v>
      </c>
      <c r="AA14" s="589">
        <f t="shared" si="3"/>
        <v>0.55178968628512215</v>
      </c>
      <c r="AF14" s="1">
        <f>T14</f>
        <v>30</v>
      </c>
      <c r="AG14" s="615">
        <f t="shared" ref="AG14:AM18" si="4">U14*100</f>
        <v>46.201078206766169</v>
      </c>
      <c r="AH14" s="615">
        <f t="shared" si="4"/>
        <v>47.573298166354576</v>
      </c>
      <c r="AI14" s="615">
        <f t="shared" si="4"/>
        <v>49.168115222249824</v>
      </c>
      <c r="AJ14" s="615">
        <f t="shared" si="4"/>
        <v>50.695655720595667</v>
      </c>
      <c r="AK14" s="615">
        <f t="shared" si="4"/>
        <v>52.546009970388695</v>
      </c>
      <c r="AL14" s="615">
        <f t="shared" si="4"/>
        <v>53.938905654709068</v>
      </c>
      <c r="AM14" s="615">
        <f t="shared" si="4"/>
        <v>55.178968628512216</v>
      </c>
    </row>
    <row r="15" spans="2:39" ht="15" x14ac:dyDescent="0.25">
      <c r="B15" s="531">
        <v>40</v>
      </c>
      <c r="C15" s="532">
        <v>0.43094590510728314</v>
      </c>
      <c r="D15" s="533">
        <v>0.42222222222222222</v>
      </c>
      <c r="E15" s="534">
        <v>0.44091486658195678</v>
      </c>
      <c r="F15" s="532">
        <v>0.46286003031834261</v>
      </c>
      <c r="G15" s="532">
        <v>0.48670146656723839</v>
      </c>
      <c r="H15" s="532">
        <v>0.50600961538461531</v>
      </c>
      <c r="I15" s="198">
        <v>0.52292296951361417</v>
      </c>
      <c r="K15" s="580">
        <v>40</v>
      </c>
      <c r="L15" s="588">
        <v>0.3859847414523877</v>
      </c>
      <c r="M15" s="590">
        <v>0.38988170148502393</v>
      </c>
      <c r="N15" s="587">
        <v>0.406135865595325</v>
      </c>
      <c r="O15" s="588">
        <v>0.42898761835396942</v>
      </c>
      <c r="P15" s="588">
        <v>0.44796594134342477</v>
      </c>
      <c r="Q15" s="588">
        <v>0.46514806378132117</v>
      </c>
      <c r="R15" s="589">
        <v>0.48348481489691864</v>
      </c>
      <c r="T15" s="613">
        <v>40</v>
      </c>
      <c r="U15" s="588">
        <f t="shared" ref="U15:AA15" si="5">U31/U23</f>
        <v>0.41394315705900359</v>
      </c>
      <c r="V15" s="590">
        <f t="shared" si="5"/>
        <v>0.41793026041722875</v>
      </c>
      <c r="W15" s="587">
        <f t="shared" si="5"/>
        <v>0.43452097188899397</v>
      </c>
      <c r="X15" s="588">
        <f t="shared" si="5"/>
        <v>0.45773881687338741</v>
      </c>
      <c r="Y15" s="588">
        <f t="shared" si="5"/>
        <v>0.4769267184722229</v>
      </c>
      <c r="Z15" s="588">
        <f t="shared" si="5"/>
        <v>0.49422516530645832</v>
      </c>
      <c r="AA15" s="589">
        <f t="shared" si="5"/>
        <v>0.51260958469457307</v>
      </c>
      <c r="AF15" s="1">
        <f>T15</f>
        <v>40</v>
      </c>
      <c r="AG15" s="615">
        <f t="shared" si="4"/>
        <v>41.394315705900361</v>
      </c>
      <c r="AH15" s="615">
        <f t="shared" si="4"/>
        <v>41.793026041722875</v>
      </c>
      <c r="AI15" s="615">
        <f t="shared" si="4"/>
        <v>43.452097188899394</v>
      </c>
      <c r="AJ15" s="615">
        <f t="shared" si="4"/>
        <v>45.773881687338744</v>
      </c>
      <c r="AK15" s="615">
        <f t="shared" si="4"/>
        <v>47.692671847222293</v>
      </c>
      <c r="AL15" s="615">
        <f t="shared" si="4"/>
        <v>49.422516530645829</v>
      </c>
      <c r="AM15" s="615">
        <f t="shared" si="4"/>
        <v>51.260958469457307</v>
      </c>
    </row>
    <row r="16" spans="2:39" ht="15" x14ac:dyDescent="0.25">
      <c r="B16" s="531">
        <v>50</v>
      </c>
      <c r="C16" s="532">
        <v>0.38189626693095469</v>
      </c>
      <c r="D16" s="532">
        <v>0.38085882683132194</v>
      </c>
      <c r="E16" s="532">
        <v>0.4043010752688172</v>
      </c>
      <c r="F16" s="533">
        <v>0.4264272313052801</v>
      </c>
      <c r="G16" s="534">
        <v>0.44792214623882165</v>
      </c>
      <c r="H16" s="532">
        <v>0.47368421052631576</v>
      </c>
      <c r="I16" s="198">
        <v>0.47988077496274217</v>
      </c>
      <c r="K16" s="580">
        <v>50</v>
      </c>
      <c r="L16" s="588">
        <v>0.3459942547079477</v>
      </c>
      <c r="M16" s="588">
        <v>0.34385871019534381</v>
      </c>
      <c r="N16" s="588">
        <v>0.36903225806451612</v>
      </c>
      <c r="O16" s="590">
        <v>0.39565217391304347</v>
      </c>
      <c r="P16" s="587">
        <v>0.41513190642110503</v>
      </c>
      <c r="Q16" s="588">
        <v>0.43067632850241538</v>
      </c>
      <c r="R16" s="589">
        <v>0.44303201506591333</v>
      </c>
      <c r="T16" s="613">
        <v>50</v>
      </c>
      <c r="U16" s="588">
        <f t="shared" ref="U16:AA16" si="6">U32/U24</f>
        <v>0.3728147860270119</v>
      </c>
      <c r="V16" s="588">
        <f t="shared" si="6"/>
        <v>0.37060750790244806</v>
      </c>
      <c r="W16" s="588">
        <f t="shared" si="6"/>
        <v>0.39655578818929299</v>
      </c>
      <c r="X16" s="590">
        <f t="shared" si="6"/>
        <v>0.42382748823995148</v>
      </c>
      <c r="Y16" s="587">
        <f t="shared" si="6"/>
        <v>0.44367602074743978</v>
      </c>
      <c r="Z16" s="588">
        <f t="shared" si="6"/>
        <v>0.45944963962965724</v>
      </c>
      <c r="AA16" s="589">
        <f t="shared" si="6"/>
        <v>0.47194651607175997</v>
      </c>
      <c r="AF16" s="1">
        <f>T16</f>
        <v>50</v>
      </c>
      <c r="AG16" s="615">
        <f t="shared" si="4"/>
        <v>37.281478602701192</v>
      </c>
      <c r="AH16" s="615">
        <f t="shared" si="4"/>
        <v>37.060750790244803</v>
      </c>
      <c r="AI16" s="615">
        <f t="shared" si="4"/>
        <v>39.6555788189293</v>
      </c>
      <c r="AJ16" s="615">
        <f t="shared" si="4"/>
        <v>42.382748823995151</v>
      </c>
      <c r="AK16" s="615">
        <f t="shared" si="4"/>
        <v>44.367602074743978</v>
      </c>
      <c r="AL16" s="615">
        <f t="shared" si="4"/>
        <v>45.944963962965723</v>
      </c>
      <c r="AM16" s="615">
        <f t="shared" si="4"/>
        <v>47.194651607175999</v>
      </c>
    </row>
    <row r="17" spans="2:39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80">
        <v>60</v>
      </c>
      <c r="L17" s="588">
        <v>0.29026671285071004</v>
      </c>
      <c r="M17" s="588">
        <v>0.29626436781609194</v>
      </c>
      <c r="N17" s="588">
        <v>0.32433177183797191</v>
      </c>
      <c r="O17" s="588">
        <v>0.35392500674399785</v>
      </c>
      <c r="P17" s="588">
        <v>0.37630208333333337</v>
      </c>
      <c r="Q17" s="587">
        <v>0.39414584910421396</v>
      </c>
      <c r="R17" s="589">
        <v>0.41183723797780519</v>
      </c>
      <c r="T17" s="613">
        <v>60</v>
      </c>
      <c r="U17" s="588">
        <f t="shared" ref="U17:AA17" si="7">U33/U25</f>
        <v>0.31484702867813091</v>
      </c>
      <c r="V17" s="588">
        <f t="shared" si="7"/>
        <v>0.3211227772915427</v>
      </c>
      <c r="W17" s="588">
        <f t="shared" si="7"/>
        <v>0.35037269891167155</v>
      </c>
      <c r="X17" s="588">
        <f t="shared" si="7"/>
        <v>0.3810021634650288</v>
      </c>
      <c r="Y17" s="588">
        <f t="shared" si="7"/>
        <v>0.40402063441025571</v>
      </c>
      <c r="Z17" s="587">
        <f t="shared" si="7"/>
        <v>0.42228884881680728</v>
      </c>
      <c r="AA17" s="589">
        <f t="shared" si="7"/>
        <v>0.44032536616877382</v>
      </c>
      <c r="AF17" s="1">
        <f>T17</f>
        <v>60</v>
      </c>
      <c r="AG17" s="615">
        <f t="shared" si="4"/>
        <v>31.484702867813091</v>
      </c>
      <c r="AH17" s="615">
        <f t="shared" si="4"/>
        <v>32.112277729154272</v>
      </c>
      <c r="AI17" s="615">
        <f t="shared" si="4"/>
        <v>35.037269891167156</v>
      </c>
      <c r="AJ17" s="615">
        <f t="shared" si="4"/>
        <v>38.100216346502883</v>
      </c>
      <c r="AK17" s="615">
        <f t="shared" si="4"/>
        <v>40.402063441025568</v>
      </c>
      <c r="AL17" s="615">
        <f t="shared" si="4"/>
        <v>42.228884881680727</v>
      </c>
      <c r="AM17" s="615">
        <f t="shared" si="4"/>
        <v>44.03253661687738</v>
      </c>
    </row>
    <row r="18" spans="2:39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3">
        <v>70</v>
      </c>
      <c r="L18" s="591">
        <v>0.23338426279602748</v>
      </c>
      <c r="M18" s="591">
        <v>0.25038735667802914</v>
      </c>
      <c r="N18" s="591">
        <v>0.27956674473067916</v>
      </c>
      <c r="O18" s="591">
        <v>0.30732122587968219</v>
      </c>
      <c r="P18" s="591">
        <v>0.33314886552296624</v>
      </c>
      <c r="Q18" s="591">
        <v>0.35599999999999998</v>
      </c>
      <c r="R18" s="592">
        <v>0.37759336099585061</v>
      </c>
      <c r="T18" s="614">
        <v>70</v>
      </c>
      <c r="U18" s="591">
        <f t="shared" ref="U18:AA18" si="8">U34/U26</f>
        <v>0.25487750445305618</v>
      </c>
      <c r="V18" s="591">
        <f t="shared" si="8"/>
        <v>0.27288907801993306</v>
      </c>
      <c r="W18" s="591">
        <f t="shared" si="8"/>
        <v>0.30362860022446259</v>
      </c>
      <c r="X18" s="591">
        <f t="shared" si="8"/>
        <v>0.33266881483279015</v>
      </c>
      <c r="Y18" s="591">
        <f t="shared" si="8"/>
        <v>0.35952103675833852</v>
      </c>
      <c r="Z18" s="591">
        <f t="shared" si="8"/>
        <v>0.38314176245210724</v>
      </c>
      <c r="AA18" s="592">
        <f t="shared" si="8"/>
        <v>0.40534521158129172</v>
      </c>
      <c r="AF18" s="1">
        <f>T18</f>
        <v>70</v>
      </c>
      <c r="AG18" s="615">
        <f t="shared" si="4"/>
        <v>25.487750445305618</v>
      </c>
      <c r="AH18" s="615">
        <f t="shared" si="4"/>
        <v>27.288907801993307</v>
      </c>
      <c r="AI18" s="615">
        <f t="shared" si="4"/>
        <v>30.362860022446259</v>
      </c>
      <c r="AJ18" s="615">
        <f t="shared" si="4"/>
        <v>33.266881483279015</v>
      </c>
      <c r="AK18" s="615">
        <f t="shared" si="4"/>
        <v>35.952103675833854</v>
      </c>
      <c r="AL18" s="615">
        <f t="shared" si="4"/>
        <v>38.314176245210724</v>
      </c>
      <c r="AM18" s="615">
        <f t="shared" si="4"/>
        <v>40.534521158129174</v>
      </c>
    </row>
    <row r="19" spans="2:39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6"/>
      <c r="L19" s="586"/>
      <c r="M19" s="586"/>
      <c r="N19" s="586"/>
      <c r="O19" s="586"/>
      <c r="P19" s="586"/>
      <c r="Q19" s="586"/>
      <c r="R19" s="586"/>
      <c r="T19" s="586"/>
      <c r="U19" s="586"/>
      <c r="V19" s="586"/>
      <c r="W19" s="586"/>
      <c r="X19" s="586"/>
      <c r="Y19" s="586"/>
      <c r="Z19" s="586"/>
      <c r="AA19" s="586"/>
    </row>
    <row r="20" spans="2:39" ht="15" x14ac:dyDescent="0.25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2" t="s">
        <v>61</v>
      </c>
      <c r="L20" s="573" t="s">
        <v>58</v>
      </c>
      <c r="M20" s="574"/>
      <c r="N20" s="575"/>
      <c r="O20" s="575"/>
      <c r="P20" s="575"/>
      <c r="Q20" s="575"/>
      <c r="R20" s="576"/>
      <c r="T20" s="572" t="s">
        <v>61</v>
      </c>
      <c r="U20" s="573" t="s">
        <v>58</v>
      </c>
      <c r="V20" s="574"/>
      <c r="W20" s="575"/>
      <c r="X20" s="575"/>
      <c r="Y20" s="575"/>
      <c r="Z20" s="575"/>
      <c r="AA20" s="576"/>
    </row>
    <row r="21" spans="2:39" ht="15" x14ac:dyDescent="0.25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7" t="s">
        <v>59</v>
      </c>
      <c r="L21" s="578">
        <v>30</v>
      </c>
      <c r="M21" s="578">
        <v>40</v>
      </c>
      <c r="N21" s="578">
        <v>50</v>
      </c>
      <c r="O21" s="578">
        <v>60</v>
      </c>
      <c r="P21" s="578">
        <v>70</v>
      </c>
      <c r="Q21" s="578">
        <v>80</v>
      </c>
      <c r="R21" s="579">
        <v>90</v>
      </c>
      <c r="T21" s="577" t="s">
        <v>59</v>
      </c>
      <c r="U21" s="578">
        <v>30</v>
      </c>
      <c r="V21" s="578">
        <v>40</v>
      </c>
      <c r="W21" s="578">
        <v>50</v>
      </c>
      <c r="X21" s="578">
        <v>60</v>
      </c>
      <c r="Y21" s="578">
        <v>70</v>
      </c>
      <c r="Z21" s="578">
        <v>80</v>
      </c>
      <c r="AA21" s="579">
        <v>90</v>
      </c>
    </row>
    <row r="22" spans="2:39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80">
        <v>30</v>
      </c>
      <c r="L22" s="581">
        <v>3.915</v>
      </c>
      <c r="M22" s="581">
        <v>4.1340000000000003</v>
      </c>
      <c r="N22" s="581">
        <v>4.2799999999999994</v>
      </c>
      <c r="O22" s="581">
        <v>4.4220000000000006</v>
      </c>
      <c r="P22" s="581">
        <v>4.5190000000000001</v>
      </c>
      <c r="Q22" s="581">
        <v>4.6440000000000001</v>
      </c>
      <c r="R22" s="582">
        <v>4.7970000000000006</v>
      </c>
      <c r="T22" s="580">
        <v>30</v>
      </c>
      <c r="U22" s="581">
        <f>U30+U38</f>
        <v>3.6709100000000001</v>
      </c>
      <c r="V22" s="581">
        <f t="shared" ref="V22:AA22" si="9">V30+V38</f>
        <v>3.8824299999999998</v>
      </c>
      <c r="W22" s="581">
        <f t="shared" si="9"/>
        <v>4.0269999999999992</v>
      </c>
      <c r="X22" s="581">
        <f t="shared" si="9"/>
        <v>4.1680100000000007</v>
      </c>
      <c r="Y22" s="581">
        <f t="shared" si="9"/>
        <v>4.2686399999999995</v>
      </c>
      <c r="Z22" s="581">
        <f t="shared" si="9"/>
        <v>4.3938600000000001</v>
      </c>
      <c r="AA22" s="582">
        <f t="shared" si="9"/>
        <v>4.54521</v>
      </c>
      <c r="AF22" s="1">
        <f t="shared" ref="AF22:AM26" si="10">T22</f>
        <v>30</v>
      </c>
      <c r="AG22" s="615">
        <f t="shared" si="10"/>
        <v>3.6709100000000001</v>
      </c>
      <c r="AH22" s="615">
        <f t="shared" si="10"/>
        <v>3.8824299999999998</v>
      </c>
      <c r="AI22" s="615">
        <f t="shared" si="10"/>
        <v>4.0269999999999992</v>
      </c>
      <c r="AJ22" s="615">
        <f t="shared" si="10"/>
        <v>4.1680100000000007</v>
      </c>
      <c r="AK22" s="615">
        <f t="shared" si="10"/>
        <v>4.2686399999999995</v>
      </c>
      <c r="AL22" s="615">
        <f t="shared" si="10"/>
        <v>4.3938600000000001</v>
      </c>
      <c r="AM22" s="615">
        <f t="shared" si="10"/>
        <v>4.54521</v>
      </c>
    </row>
    <row r="23" spans="2:39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80">
        <v>40</v>
      </c>
      <c r="L23" s="581">
        <v>3.5390000000000001</v>
      </c>
      <c r="M23" s="581">
        <v>3.9729999999999999</v>
      </c>
      <c r="N23" s="581">
        <v>4.1070000000000002</v>
      </c>
      <c r="O23" s="581">
        <v>4.1189999999999998</v>
      </c>
      <c r="P23" s="581">
        <v>4.2279999999999998</v>
      </c>
      <c r="Q23" s="581">
        <v>4.3899999999999997</v>
      </c>
      <c r="R23" s="582">
        <v>4.5110000000000001</v>
      </c>
      <c r="T23" s="580">
        <v>40</v>
      </c>
      <c r="U23" s="581">
        <f t="shared" ref="U23:AA23" si="11">U31+U39</f>
        <v>3.2999700000000001</v>
      </c>
      <c r="V23" s="581">
        <f t="shared" si="11"/>
        <v>3.7063600000000001</v>
      </c>
      <c r="W23" s="581">
        <f t="shared" si="11"/>
        <v>3.8387099999999998</v>
      </c>
      <c r="X23" s="581">
        <f t="shared" si="11"/>
        <v>3.8602799999999999</v>
      </c>
      <c r="Y23" s="581">
        <f t="shared" si="11"/>
        <v>3.97126</v>
      </c>
      <c r="Z23" s="581">
        <f t="shared" si="11"/>
        <v>4.1317199999999996</v>
      </c>
      <c r="AA23" s="582">
        <f t="shared" si="11"/>
        <v>4.2546999999999997</v>
      </c>
      <c r="AF23" s="1">
        <f t="shared" si="10"/>
        <v>40</v>
      </c>
      <c r="AG23" s="615">
        <f t="shared" si="10"/>
        <v>3.2999700000000001</v>
      </c>
      <c r="AH23" s="615">
        <f t="shared" si="10"/>
        <v>3.7063600000000001</v>
      </c>
      <c r="AI23" s="615">
        <f t="shared" si="10"/>
        <v>3.8387099999999998</v>
      </c>
      <c r="AJ23" s="615">
        <f t="shared" si="10"/>
        <v>3.8602799999999999</v>
      </c>
      <c r="AK23" s="615">
        <f t="shared" si="10"/>
        <v>3.97126</v>
      </c>
      <c r="AL23" s="615">
        <f t="shared" si="10"/>
        <v>4.1317199999999996</v>
      </c>
      <c r="AM23" s="615">
        <f t="shared" si="10"/>
        <v>4.2546999999999997</v>
      </c>
    </row>
    <row r="24" spans="2:39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80">
        <v>50</v>
      </c>
      <c r="L24" s="581">
        <v>3.133</v>
      </c>
      <c r="M24" s="581">
        <v>3.7370000000000001</v>
      </c>
      <c r="N24" s="581">
        <v>3.875</v>
      </c>
      <c r="O24" s="581">
        <v>3.91</v>
      </c>
      <c r="P24" s="581">
        <v>4.0179999999999998</v>
      </c>
      <c r="Q24" s="581">
        <v>4.1400000000000006</v>
      </c>
      <c r="R24" s="582">
        <v>4.2480000000000002</v>
      </c>
      <c r="T24" s="580">
        <v>50</v>
      </c>
      <c r="U24" s="581">
        <f t="shared" ref="U24:AA24" si="12">U32+U40</f>
        <v>2.90761</v>
      </c>
      <c r="V24" s="581">
        <f t="shared" si="12"/>
        <v>3.4672799999999997</v>
      </c>
      <c r="W24" s="581">
        <f t="shared" si="12"/>
        <v>3.6060499999999998</v>
      </c>
      <c r="X24" s="581">
        <f t="shared" si="12"/>
        <v>3.6500700000000004</v>
      </c>
      <c r="Y24" s="581">
        <f t="shared" si="12"/>
        <v>3.7595000000000001</v>
      </c>
      <c r="Z24" s="581">
        <f t="shared" si="12"/>
        <v>3.8807300000000002</v>
      </c>
      <c r="AA24" s="582">
        <f t="shared" si="12"/>
        <v>3.9877399999999996</v>
      </c>
      <c r="AF24" s="1">
        <f t="shared" si="10"/>
        <v>50</v>
      </c>
      <c r="AG24" s="615">
        <f t="shared" si="10"/>
        <v>2.90761</v>
      </c>
      <c r="AH24" s="615">
        <f t="shared" si="10"/>
        <v>3.4672799999999997</v>
      </c>
      <c r="AI24" s="615">
        <f t="shared" si="10"/>
        <v>3.6060499999999998</v>
      </c>
      <c r="AJ24" s="615">
        <f t="shared" si="10"/>
        <v>3.6500700000000004</v>
      </c>
      <c r="AK24" s="615">
        <f t="shared" si="10"/>
        <v>3.7595000000000001</v>
      </c>
      <c r="AL24" s="615">
        <f t="shared" si="10"/>
        <v>3.8807300000000002</v>
      </c>
      <c r="AM24" s="615">
        <f t="shared" si="10"/>
        <v>3.9877399999999996</v>
      </c>
    </row>
    <row r="25" spans="2:39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80">
        <v>60</v>
      </c>
      <c r="L25" s="581">
        <v>2.887</v>
      </c>
      <c r="M25" s="581">
        <v>3.4799999999999995</v>
      </c>
      <c r="N25" s="581">
        <v>3.629</v>
      </c>
      <c r="O25" s="581">
        <v>3.7069999999999999</v>
      </c>
      <c r="P25" s="581">
        <v>3.84</v>
      </c>
      <c r="Q25" s="581">
        <v>3.9630000000000001</v>
      </c>
      <c r="R25" s="582">
        <v>4.0549999999999997</v>
      </c>
      <c r="T25" s="580">
        <v>60</v>
      </c>
      <c r="U25" s="581">
        <f t="shared" ref="U25:AA25" si="13">U33+U41</f>
        <v>2.66161</v>
      </c>
      <c r="V25" s="581">
        <f t="shared" si="13"/>
        <v>3.21061</v>
      </c>
      <c r="W25" s="581">
        <f t="shared" si="13"/>
        <v>3.35928</v>
      </c>
      <c r="X25" s="581">
        <f t="shared" si="13"/>
        <v>3.4435500000000001</v>
      </c>
      <c r="Y25" s="581">
        <f t="shared" si="13"/>
        <v>3.5765500000000001</v>
      </c>
      <c r="Z25" s="581">
        <f t="shared" si="13"/>
        <v>3.6988899999999996</v>
      </c>
      <c r="AA25" s="582">
        <f t="shared" si="13"/>
        <v>3.7926499999999996</v>
      </c>
      <c r="AF25" s="1">
        <f t="shared" si="10"/>
        <v>60</v>
      </c>
      <c r="AG25" s="615">
        <f t="shared" si="10"/>
        <v>2.66161</v>
      </c>
      <c r="AH25" s="615">
        <f t="shared" si="10"/>
        <v>3.21061</v>
      </c>
      <c r="AI25" s="615">
        <f t="shared" si="10"/>
        <v>3.35928</v>
      </c>
      <c r="AJ25" s="615">
        <f t="shared" si="10"/>
        <v>3.4435500000000001</v>
      </c>
      <c r="AK25" s="615">
        <f t="shared" si="10"/>
        <v>3.5765500000000001</v>
      </c>
      <c r="AL25" s="615">
        <f t="shared" si="10"/>
        <v>3.6988899999999996</v>
      </c>
      <c r="AM25" s="615">
        <f t="shared" si="10"/>
        <v>3.7926499999999996</v>
      </c>
    </row>
    <row r="26" spans="2:39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3">
        <v>70</v>
      </c>
      <c r="L26" s="584">
        <v>2.6180000000000003</v>
      </c>
      <c r="M26" s="584">
        <v>3.2270000000000003</v>
      </c>
      <c r="N26" s="584">
        <v>3.4159999999999999</v>
      </c>
      <c r="O26" s="584">
        <v>3.524</v>
      </c>
      <c r="P26" s="584">
        <v>3.6139999999999999</v>
      </c>
      <c r="Q26" s="584">
        <v>3.75</v>
      </c>
      <c r="R26" s="585">
        <v>3.8559999999999999</v>
      </c>
      <c r="T26" s="583">
        <v>70</v>
      </c>
      <c r="U26" s="584">
        <f t="shared" ref="U26:AA26" si="14">U34+U42</f>
        <v>2.3972300000000004</v>
      </c>
      <c r="V26" s="584">
        <f t="shared" si="14"/>
        <v>2.9609100000000002</v>
      </c>
      <c r="W26" s="584">
        <f t="shared" si="14"/>
        <v>3.1452900000000001</v>
      </c>
      <c r="X26" s="584">
        <f t="shared" si="14"/>
        <v>3.25549</v>
      </c>
      <c r="Y26" s="584">
        <f t="shared" si="14"/>
        <v>3.3489000000000004</v>
      </c>
      <c r="Z26" s="584">
        <f t="shared" si="14"/>
        <v>3.4843500000000001</v>
      </c>
      <c r="AA26" s="585">
        <f t="shared" si="14"/>
        <v>3.5920000000000001</v>
      </c>
      <c r="AF26" s="1">
        <f t="shared" si="10"/>
        <v>70</v>
      </c>
      <c r="AG26" s="615">
        <f t="shared" si="10"/>
        <v>2.3972300000000004</v>
      </c>
      <c r="AH26" s="615">
        <f t="shared" si="10"/>
        <v>2.9609100000000002</v>
      </c>
      <c r="AI26" s="615">
        <f t="shared" si="10"/>
        <v>3.1452900000000001</v>
      </c>
      <c r="AJ26" s="615">
        <f t="shared" si="10"/>
        <v>3.25549</v>
      </c>
      <c r="AK26" s="615">
        <f t="shared" si="10"/>
        <v>3.3489000000000004</v>
      </c>
      <c r="AL26" s="615">
        <f t="shared" si="10"/>
        <v>3.4843500000000001</v>
      </c>
      <c r="AM26" s="615">
        <f t="shared" si="10"/>
        <v>3.5920000000000001</v>
      </c>
    </row>
    <row r="27" spans="2:39" ht="13.5" thickBot="1" x14ac:dyDescent="0.25"/>
    <row r="28" spans="2:39" ht="15" x14ac:dyDescent="0.25">
      <c r="B28" s="201" t="s">
        <v>62</v>
      </c>
      <c r="K28" s="572" t="s">
        <v>448</v>
      </c>
      <c r="L28" s="573" t="s">
        <v>58</v>
      </c>
      <c r="M28" s="574"/>
      <c r="N28" s="575"/>
      <c r="O28" s="575"/>
      <c r="P28" s="575"/>
      <c r="Q28" s="575"/>
      <c r="R28" s="576"/>
      <c r="T28" s="572" t="s">
        <v>448</v>
      </c>
      <c r="U28" s="573" t="s">
        <v>58</v>
      </c>
      <c r="V28" s="574"/>
      <c r="W28" s="575"/>
      <c r="X28" s="575"/>
      <c r="Y28" s="575"/>
      <c r="Z28" s="575"/>
      <c r="AA28" s="576"/>
    </row>
    <row r="29" spans="2:39" ht="15" x14ac:dyDescent="0.25">
      <c r="B29" s="202" t="s">
        <v>130</v>
      </c>
      <c r="K29" s="577" t="s">
        <v>59</v>
      </c>
      <c r="L29" s="578">
        <v>30</v>
      </c>
      <c r="M29" s="578">
        <v>40</v>
      </c>
      <c r="N29" s="578">
        <v>50</v>
      </c>
      <c r="O29" s="578">
        <v>60</v>
      </c>
      <c r="P29" s="578">
        <v>70</v>
      </c>
      <c r="Q29" s="578">
        <v>80</v>
      </c>
      <c r="R29" s="579">
        <v>90</v>
      </c>
      <c r="T29" s="577" t="s">
        <v>59</v>
      </c>
      <c r="U29" s="578">
        <v>30</v>
      </c>
      <c r="V29" s="578">
        <v>40</v>
      </c>
      <c r="W29" s="578">
        <v>50</v>
      </c>
      <c r="X29" s="578">
        <v>60</v>
      </c>
      <c r="Y29" s="578">
        <v>70</v>
      </c>
      <c r="Z29" s="578">
        <v>80</v>
      </c>
      <c r="AA29" s="579">
        <v>90</v>
      </c>
    </row>
    <row r="30" spans="2:39" ht="15" x14ac:dyDescent="0.25">
      <c r="B30" s="202" t="s">
        <v>131</v>
      </c>
      <c r="K30" s="580">
        <v>30</v>
      </c>
      <c r="L30" s="581">
        <v>1.696</v>
      </c>
      <c r="M30" s="581">
        <v>1.847</v>
      </c>
      <c r="N30" s="581">
        <v>1.98</v>
      </c>
      <c r="O30" s="581">
        <v>2.113</v>
      </c>
      <c r="P30" s="581">
        <v>2.2429999999999999</v>
      </c>
      <c r="Q30" s="581">
        <v>2.37</v>
      </c>
      <c r="R30" s="582">
        <v>2.508</v>
      </c>
      <c r="T30" s="580">
        <v>30</v>
      </c>
      <c r="U30" s="581">
        <v>1.696</v>
      </c>
      <c r="V30" s="581">
        <v>1.847</v>
      </c>
      <c r="W30" s="581">
        <v>1.98</v>
      </c>
      <c r="X30" s="581">
        <v>2.113</v>
      </c>
      <c r="Y30" s="581">
        <v>2.2429999999999999</v>
      </c>
      <c r="Z30" s="581">
        <v>2.37</v>
      </c>
      <c r="AA30" s="582">
        <v>2.508</v>
      </c>
    </row>
    <row r="31" spans="2:39" ht="15" x14ac:dyDescent="0.25">
      <c r="K31" s="580">
        <v>40</v>
      </c>
      <c r="L31" s="581">
        <v>1.3660000000000001</v>
      </c>
      <c r="M31" s="581">
        <v>1.5489999999999999</v>
      </c>
      <c r="N31" s="581">
        <v>1.6679999999999999</v>
      </c>
      <c r="O31" s="581">
        <v>1.7669999999999999</v>
      </c>
      <c r="P31" s="581">
        <v>1.8939999999999999</v>
      </c>
      <c r="Q31" s="581">
        <v>2.0419999999999998</v>
      </c>
      <c r="R31" s="582">
        <v>2.181</v>
      </c>
      <c r="T31" s="580">
        <v>40</v>
      </c>
      <c r="U31" s="581">
        <v>1.3660000000000001</v>
      </c>
      <c r="V31" s="581">
        <v>1.5489999999999999</v>
      </c>
      <c r="W31" s="581">
        <v>1.6679999999999999</v>
      </c>
      <c r="X31" s="581">
        <v>1.7669999999999999</v>
      </c>
      <c r="Y31" s="581">
        <v>1.8939999999999999</v>
      </c>
      <c r="Z31" s="581">
        <v>2.0419999999999998</v>
      </c>
      <c r="AA31" s="582">
        <v>2.181</v>
      </c>
    </row>
    <row r="32" spans="2:39" ht="15" x14ac:dyDescent="0.25">
      <c r="K32" s="580">
        <v>50</v>
      </c>
      <c r="L32" s="581">
        <v>1.0840000000000001</v>
      </c>
      <c r="M32" s="581">
        <v>1.2849999999999999</v>
      </c>
      <c r="N32" s="581">
        <v>1.43</v>
      </c>
      <c r="O32" s="581">
        <v>1.5469999999999999</v>
      </c>
      <c r="P32" s="581">
        <v>1.6679999999999999</v>
      </c>
      <c r="Q32" s="581">
        <v>1.7829999999999999</v>
      </c>
      <c r="R32" s="582">
        <v>1.8819999999999999</v>
      </c>
      <c r="T32" s="580">
        <v>50</v>
      </c>
      <c r="U32" s="581">
        <v>1.0840000000000001</v>
      </c>
      <c r="V32" s="581">
        <v>1.2849999999999999</v>
      </c>
      <c r="W32" s="581">
        <v>1.43</v>
      </c>
      <c r="X32" s="581">
        <v>1.5469999999999999</v>
      </c>
      <c r="Y32" s="581">
        <v>1.6679999999999999</v>
      </c>
      <c r="Z32" s="581">
        <v>1.7829999999999999</v>
      </c>
      <c r="AA32" s="582">
        <v>1.8819999999999999</v>
      </c>
    </row>
    <row r="33" spans="11:29" ht="15" x14ac:dyDescent="0.25">
      <c r="K33" s="580">
        <v>60</v>
      </c>
      <c r="L33" s="581">
        <v>0.83799999999999997</v>
      </c>
      <c r="M33" s="581">
        <v>1.0309999999999999</v>
      </c>
      <c r="N33" s="581">
        <v>1.177</v>
      </c>
      <c r="O33" s="581">
        <v>1.3120000000000001</v>
      </c>
      <c r="P33" s="581">
        <v>1.4450000000000001</v>
      </c>
      <c r="Q33" s="581">
        <v>1.5620000000000001</v>
      </c>
      <c r="R33" s="582">
        <v>1.67</v>
      </c>
      <c r="T33" s="580">
        <v>60</v>
      </c>
      <c r="U33" s="581">
        <v>0.83799999999999997</v>
      </c>
      <c r="V33" s="581">
        <v>1.0309999999999999</v>
      </c>
      <c r="W33" s="581">
        <v>1.177</v>
      </c>
      <c r="X33" s="581">
        <v>1.3120000000000001</v>
      </c>
      <c r="Y33" s="581">
        <v>1.4450000000000001</v>
      </c>
      <c r="Z33" s="581">
        <v>1.5620000000000001</v>
      </c>
      <c r="AA33" s="582">
        <v>1.67</v>
      </c>
    </row>
    <row r="34" spans="11:29" ht="15.75" thickBot="1" x14ac:dyDescent="0.3">
      <c r="K34" s="583">
        <v>70</v>
      </c>
      <c r="L34" s="584">
        <v>0.61099999999999999</v>
      </c>
      <c r="M34" s="584">
        <v>0.80800000000000005</v>
      </c>
      <c r="N34" s="584">
        <v>0.95499999999999996</v>
      </c>
      <c r="O34" s="584">
        <v>1.083</v>
      </c>
      <c r="P34" s="584">
        <v>1.204</v>
      </c>
      <c r="Q34" s="584">
        <v>1.335</v>
      </c>
      <c r="R34" s="585">
        <v>1.456</v>
      </c>
      <c r="T34" s="583">
        <v>70</v>
      </c>
      <c r="U34" s="584">
        <v>0.61099999999999999</v>
      </c>
      <c r="V34" s="584">
        <v>0.80800000000000005</v>
      </c>
      <c r="W34" s="584">
        <v>0.95499999999999996</v>
      </c>
      <c r="X34" s="584">
        <v>1.083</v>
      </c>
      <c r="Y34" s="584">
        <v>1.204</v>
      </c>
      <c r="Z34" s="584">
        <v>1.335</v>
      </c>
      <c r="AA34" s="585">
        <v>1.456</v>
      </c>
    </row>
    <row r="35" spans="11:29" ht="15.75" thickBot="1" x14ac:dyDescent="0.3">
      <c r="K35" s="586"/>
      <c r="L35" s="586"/>
      <c r="M35" s="586"/>
      <c r="N35" s="586"/>
      <c r="O35" s="586"/>
      <c r="P35" s="586"/>
      <c r="Q35" s="586"/>
      <c r="R35" s="586"/>
      <c r="T35" s="586"/>
      <c r="U35" s="586"/>
      <c r="V35" s="586"/>
      <c r="W35" s="586"/>
      <c r="X35" s="586"/>
      <c r="Y35" s="586"/>
      <c r="Z35" s="586"/>
      <c r="AA35" s="586"/>
    </row>
    <row r="36" spans="11:29" ht="15" x14ac:dyDescent="0.25">
      <c r="K36" s="572" t="s">
        <v>449</v>
      </c>
      <c r="L36" s="573" t="s">
        <v>58</v>
      </c>
      <c r="M36" s="574"/>
      <c r="N36" s="575"/>
      <c r="O36" s="575"/>
      <c r="P36" s="575"/>
      <c r="Q36" s="575"/>
      <c r="R36" s="576"/>
      <c r="T36" s="572" t="s">
        <v>449</v>
      </c>
      <c r="U36" s="573" t="s">
        <v>58</v>
      </c>
      <c r="V36" s="574"/>
      <c r="W36" s="575"/>
      <c r="X36" s="575"/>
      <c r="Y36" s="575"/>
      <c r="Z36" s="575"/>
      <c r="AA36" s="576"/>
    </row>
    <row r="37" spans="11:29" ht="15" x14ac:dyDescent="0.25">
      <c r="K37" s="577" t="s">
        <v>59</v>
      </c>
      <c r="L37" s="578">
        <v>30</v>
      </c>
      <c r="M37" s="578">
        <v>40</v>
      </c>
      <c r="N37" s="578">
        <v>50</v>
      </c>
      <c r="O37" s="578">
        <v>60</v>
      </c>
      <c r="P37" s="578">
        <v>70</v>
      </c>
      <c r="Q37" s="578">
        <v>80</v>
      </c>
      <c r="R37" s="579">
        <v>90</v>
      </c>
      <c r="T37" s="577" t="s">
        <v>59</v>
      </c>
      <c r="U37" s="578">
        <v>30</v>
      </c>
      <c r="V37" s="578">
        <v>40</v>
      </c>
      <c r="W37" s="578">
        <v>50</v>
      </c>
      <c r="X37" s="578">
        <v>60</v>
      </c>
      <c r="Y37" s="578">
        <v>70</v>
      </c>
      <c r="Z37" s="578">
        <v>80</v>
      </c>
      <c r="AA37" s="579">
        <v>90</v>
      </c>
    </row>
    <row r="38" spans="11:29" ht="15" x14ac:dyDescent="0.25">
      <c r="K38" s="580">
        <v>30</v>
      </c>
      <c r="L38" s="581">
        <v>2.2189999999999999</v>
      </c>
      <c r="M38" s="581">
        <v>2.2869999999999999</v>
      </c>
      <c r="N38" s="581">
        <v>2.2999999999999998</v>
      </c>
      <c r="O38" s="581">
        <v>2.3090000000000002</v>
      </c>
      <c r="P38" s="581">
        <v>2.2759999999999998</v>
      </c>
      <c r="Q38" s="581">
        <v>2.274</v>
      </c>
      <c r="R38" s="582">
        <v>2.2890000000000001</v>
      </c>
      <c r="T38" s="580">
        <v>30</v>
      </c>
      <c r="U38" s="581">
        <f>L38*(1-0.11)</f>
        <v>1.9749099999999999</v>
      </c>
      <c r="V38" s="581">
        <f t="shared" ref="V38:AA38" si="15">M38*(1-0.11)</f>
        <v>2.0354299999999999</v>
      </c>
      <c r="W38" s="581">
        <f t="shared" si="15"/>
        <v>2.0469999999999997</v>
      </c>
      <c r="X38" s="581">
        <f t="shared" si="15"/>
        <v>2.0550100000000002</v>
      </c>
      <c r="Y38" s="581">
        <f t="shared" si="15"/>
        <v>2.0256399999999997</v>
      </c>
      <c r="Z38" s="581">
        <f t="shared" si="15"/>
        <v>2.02386</v>
      </c>
      <c r="AA38" s="582">
        <f t="shared" si="15"/>
        <v>2.03721</v>
      </c>
    </row>
    <row r="39" spans="11:29" ht="15" x14ac:dyDescent="0.25">
      <c r="K39" s="580">
        <v>40</v>
      </c>
      <c r="L39" s="581">
        <v>2.173</v>
      </c>
      <c r="M39" s="581">
        <v>2.4239999999999999</v>
      </c>
      <c r="N39" s="581">
        <v>2.4390000000000001</v>
      </c>
      <c r="O39" s="581">
        <v>2.3519999999999999</v>
      </c>
      <c r="P39" s="581">
        <v>2.3340000000000001</v>
      </c>
      <c r="Q39" s="581">
        <v>2.3479999999999999</v>
      </c>
      <c r="R39" s="582">
        <v>2.33</v>
      </c>
      <c r="T39" s="580">
        <v>40</v>
      </c>
      <c r="U39" s="581">
        <f>L39*(1-0.11)</f>
        <v>1.93397</v>
      </c>
      <c r="V39" s="581">
        <f t="shared" ref="V39:AA42" si="16">M39*(1-0.11)</f>
        <v>2.1573600000000002</v>
      </c>
      <c r="W39" s="581">
        <f t="shared" si="16"/>
        <v>2.1707100000000001</v>
      </c>
      <c r="X39" s="581">
        <f t="shared" si="16"/>
        <v>2.09328</v>
      </c>
      <c r="Y39" s="581">
        <f t="shared" si="16"/>
        <v>2.0772599999999999</v>
      </c>
      <c r="Z39" s="581">
        <f t="shared" si="16"/>
        <v>2.0897199999999998</v>
      </c>
      <c r="AA39" s="582">
        <f t="shared" si="16"/>
        <v>2.0737000000000001</v>
      </c>
    </row>
    <row r="40" spans="11:29" ht="15" x14ac:dyDescent="0.25">
      <c r="K40" s="580">
        <v>50</v>
      </c>
      <c r="L40" s="581">
        <v>2.0489999999999999</v>
      </c>
      <c r="M40" s="581">
        <v>2.452</v>
      </c>
      <c r="N40" s="581">
        <v>2.4449999999999998</v>
      </c>
      <c r="O40" s="581">
        <v>2.363</v>
      </c>
      <c r="P40" s="581">
        <v>2.35</v>
      </c>
      <c r="Q40" s="581">
        <v>2.3570000000000002</v>
      </c>
      <c r="R40" s="582">
        <v>2.3660000000000001</v>
      </c>
      <c r="T40" s="580">
        <v>50</v>
      </c>
      <c r="U40" s="581">
        <f>L40*(1-0.11)</f>
        <v>1.82361</v>
      </c>
      <c r="V40" s="581">
        <f t="shared" si="16"/>
        <v>2.18228</v>
      </c>
      <c r="W40" s="581">
        <f t="shared" si="16"/>
        <v>2.17605</v>
      </c>
      <c r="X40" s="581">
        <f t="shared" si="16"/>
        <v>2.1030700000000002</v>
      </c>
      <c r="Y40" s="581">
        <f t="shared" si="16"/>
        <v>2.0914999999999999</v>
      </c>
      <c r="Z40" s="581">
        <f t="shared" si="16"/>
        <v>2.0977300000000003</v>
      </c>
      <c r="AA40" s="582">
        <f t="shared" si="16"/>
        <v>2.1057399999999999</v>
      </c>
      <c r="AC40" s="615"/>
    </row>
    <row r="41" spans="11:29" ht="15" x14ac:dyDescent="0.25">
      <c r="K41" s="580">
        <v>60</v>
      </c>
      <c r="L41" s="581">
        <v>2.0489999999999999</v>
      </c>
      <c r="M41" s="581">
        <v>2.4489999999999998</v>
      </c>
      <c r="N41" s="581">
        <v>2.452</v>
      </c>
      <c r="O41" s="581">
        <v>2.395</v>
      </c>
      <c r="P41" s="581">
        <v>2.395</v>
      </c>
      <c r="Q41" s="581">
        <v>2.4009999999999998</v>
      </c>
      <c r="R41" s="582">
        <v>2.3849999999999998</v>
      </c>
      <c r="T41" s="580">
        <v>60</v>
      </c>
      <c r="U41" s="581">
        <f>L41*(1-0.11)</f>
        <v>1.82361</v>
      </c>
      <c r="V41" s="581">
        <f t="shared" si="16"/>
        <v>2.1796099999999998</v>
      </c>
      <c r="W41" s="581">
        <f t="shared" si="16"/>
        <v>2.18228</v>
      </c>
      <c r="X41" s="581">
        <f t="shared" si="16"/>
        <v>2.1315499999999998</v>
      </c>
      <c r="Y41" s="581">
        <f t="shared" si="16"/>
        <v>2.1315499999999998</v>
      </c>
      <c r="Z41" s="581">
        <f t="shared" si="16"/>
        <v>2.1368899999999997</v>
      </c>
      <c r="AA41" s="582">
        <f t="shared" si="16"/>
        <v>2.1226499999999997</v>
      </c>
    </row>
    <row r="42" spans="11:29" ht="15.75" thickBot="1" x14ac:dyDescent="0.3">
      <c r="K42" s="583">
        <v>70</v>
      </c>
      <c r="L42" s="584">
        <v>2.0070000000000001</v>
      </c>
      <c r="M42" s="584">
        <v>2.419</v>
      </c>
      <c r="N42" s="584">
        <v>2.4609999999999999</v>
      </c>
      <c r="O42" s="584">
        <v>2.4409999999999998</v>
      </c>
      <c r="P42" s="584">
        <v>2.41</v>
      </c>
      <c r="Q42" s="584">
        <v>2.415</v>
      </c>
      <c r="R42" s="585">
        <v>2.4</v>
      </c>
      <c r="T42" s="583">
        <v>70</v>
      </c>
      <c r="U42" s="584">
        <f>L42*(1-0.11)</f>
        <v>1.7862300000000002</v>
      </c>
      <c r="V42" s="584">
        <f t="shared" si="16"/>
        <v>2.1529099999999999</v>
      </c>
      <c r="W42" s="584">
        <f t="shared" si="16"/>
        <v>2.1902900000000001</v>
      </c>
      <c r="X42" s="584">
        <f t="shared" si="16"/>
        <v>2.1724899999999998</v>
      </c>
      <c r="Y42" s="584">
        <f t="shared" si="16"/>
        <v>2.1449000000000003</v>
      </c>
      <c r="Z42" s="584">
        <f t="shared" si="16"/>
        <v>2.1493500000000001</v>
      </c>
      <c r="AA42" s="585">
        <f t="shared" si="16"/>
        <v>2.1360000000000001</v>
      </c>
    </row>
  </sheetData>
  <conditionalFormatting sqref="L14:R18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9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8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7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6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4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3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2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D22" sqref="D22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964" t="s">
        <v>13</v>
      </c>
      <c r="C2" s="964"/>
      <c r="D2" s="964"/>
      <c r="E2" s="964"/>
      <c r="F2" s="964"/>
      <c r="G2" s="964"/>
      <c r="K2" s="964" t="s">
        <v>17</v>
      </c>
      <c r="L2" s="964"/>
      <c r="M2" s="964"/>
      <c r="N2" s="964"/>
      <c r="O2" s="964"/>
      <c r="P2" s="964"/>
      <c r="T2" s="957" t="s">
        <v>88</v>
      </c>
      <c r="U2" s="957"/>
      <c r="V2" s="957"/>
      <c r="W2" s="957"/>
      <c r="X2" s="957"/>
      <c r="Y2" s="957"/>
      <c r="Z2" s="957"/>
      <c r="AA2" s="957"/>
      <c r="AB2" s="957"/>
    </row>
    <row r="3" spans="2:38" x14ac:dyDescent="0.2">
      <c r="B3" s="964"/>
      <c r="C3" s="964"/>
      <c r="D3" s="964"/>
      <c r="E3" s="964"/>
      <c r="F3" s="964"/>
      <c r="G3" s="964"/>
      <c r="K3" s="964"/>
      <c r="L3" s="964"/>
      <c r="M3" s="964"/>
      <c r="N3" s="964"/>
      <c r="O3" s="964"/>
      <c r="P3" s="964"/>
      <c r="T3" s="957"/>
      <c r="U3" s="957"/>
      <c r="V3" s="957"/>
      <c r="W3" s="957"/>
      <c r="X3" s="957"/>
      <c r="Y3" s="957"/>
      <c r="Z3" s="957"/>
      <c r="AA3" s="957"/>
      <c r="AB3" s="957"/>
    </row>
    <row r="4" spans="2:38" ht="13.5" thickBot="1" x14ac:dyDescent="0.25"/>
    <row r="5" spans="2:38" x14ac:dyDescent="0.2">
      <c r="B5" s="960" t="s">
        <v>63</v>
      </c>
      <c r="C5" s="961"/>
      <c r="D5" s="535" t="s">
        <v>428</v>
      </c>
      <c r="J5" s="195"/>
      <c r="K5" s="960" t="s">
        <v>64</v>
      </c>
      <c r="L5" s="961"/>
      <c r="AC5" s="958" t="s">
        <v>92</v>
      </c>
      <c r="AD5" s="959"/>
    </row>
    <row r="6" spans="2:38" ht="13.5" thickBot="1" x14ac:dyDescent="0.25">
      <c r="B6" s="965"/>
      <c r="C6" s="966"/>
      <c r="J6" s="195"/>
      <c r="K6" s="965"/>
      <c r="L6" s="966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960" t="s">
        <v>82</v>
      </c>
      <c r="C18" s="961"/>
      <c r="K18" s="960" t="s">
        <v>83</v>
      </c>
      <c r="L18" s="961"/>
      <c r="T18" s="1" t="s">
        <v>132</v>
      </c>
    </row>
    <row r="19" spans="2:20" ht="13.5" thickBot="1" x14ac:dyDescent="0.25">
      <c r="B19" s="965"/>
      <c r="C19" s="966"/>
      <c r="K19" s="962"/>
      <c r="L19" s="963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523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960" t="s">
        <v>85</v>
      </c>
      <c r="C31" s="961"/>
      <c r="K31" s="960" t="s">
        <v>86</v>
      </c>
      <c r="L31" s="961"/>
    </row>
    <row r="32" spans="2:20" ht="13.5" thickBot="1" x14ac:dyDescent="0.25">
      <c r="B32" s="965"/>
      <c r="C32" s="966"/>
      <c r="K32" s="962"/>
      <c r="L32" s="963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52"/>
  <sheetViews>
    <sheetView showGridLines="0" zoomScale="85" zoomScaleNormal="85" workbookViewId="0">
      <selection activeCell="K15" sqref="K15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607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61">
        <v>1856.25</v>
      </c>
      <c r="G2" s="423"/>
      <c r="H2" s="424"/>
      <c r="J2" s="425" t="s">
        <v>378</v>
      </c>
      <c r="K2" s="426"/>
      <c r="L2" s="427"/>
      <c r="M2" s="462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83" t="s">
        <v>243</v>
      </c>
      <c r="AD3" s="437" t="s">
        <v>400</v>
      </c>
      <c r="AE3" s="463" t="s">
        <v>401</v>
      </c>
      <c r="AF3" s="464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83"/>
      <c r="AD4" s="465" t="s">
        <v>13</v>
      </c>
      <c r="AE4" s="279">
        <v>990</v>
      </c>
      <c r="AF4" s="466">
        <v>3300</v>
      </c>
      <c r="AG4" s="467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8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83"/>
      <c r="AD6" s="86" t="s">
        <v>404</v>
      </c>
      <c r="AE6" s="468">
        <v>0.25</v>
      </c>
      <c r="AF6" s="70" t="s">
        <v>311</v>
      </c>
    </row>
    <row r="7" spans="1:39" ht="15.75" thickBot="1" x14ac:dyDescent="0.3">
      <c r="J7" s="262"/>
      <c r="L7" s="87"/>
      <c r="M7" s="381"/>
      <c r="AC7" s="98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1" t="s">
        <v>384</v>
      </c>
      <c r="D8" s="981"/>
      <c r="E8" s="981"/>
      <c r="F8" s="981"/>
      <c r="G8" s="981"/>
      <c r="H8" s="982"/>
      <c r="J8" s="262" t="s">
        <v>385</v>
      </c>
      <c r="K8" s="252">
        <v>0.45</v>
      </c>
      <c r="L8" s="87" t="s">
        <v>184</v>
      </c>
      <c r="M8" s="381"/>
      <c r="AC8" s="98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83"/>
      <c r="AD9" s="469" t="s">
        <v>407</v>
      </c>
      <c r="AE9" s="984" t="s">
        <v>408</v>
      </c>
      <c r="AF9" s="984"/>
      <c r="AG9" s="470" t="s">
        <v>409</v>
      </c>
      <c r="AH9" s="470" t="s">
        <v>410</v>
      </c>
      <c r="AI9" s="470" t="s">
        <v>409</v>
      </c>
      <c r="AJ9" s="471" t="s">
        <v>411</v>
      </c>
      <c r="AK9" s="471" t="s">
        <v>412</v>
      </c>
      <c r="AL9" s="472" t="s">
        <v>413</v>
      </c>
      <c r="AM9" s="473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0.28092466028985075</v>
      </c>
      <c r="D10" s="145">
        <f>$K$3*$K$9*9.81/($K$16+$K$17+($B10*$K$24/($B10+$K$24))+(D$2*$K$22/(D$2+$K$22)))</f>
        <v>0.30561686035719549</v>
      </c>
      <c r="E10" s="145">
        <f>$K$3*$K$9*9.81/($K$16+$K$17+($B10*$K$24/($B10+$K$24))+(E$2*$K$22/(E$2+$K$22)))</f>
        <v>0.31605542881430598</v>
      </c>
      <c r="F10" s="145">
        <f>$K$3*$K$9*9.81/($K$16+$K$17+($B10*$K$24/($B10+$K$24))+(F$2*$K$22/(F$2+$K$22)))</f>
        <v>0.32718563330134454</v>
      </c>
      <c r="G10" s="145"/>
      <c r="H10" s="146"/>
      <c r="J10" s="99"/>
      <c r="L10" s="87"/>
      <c r="M10" s="381"/>
      <c r="AC10" s="983"/>
      <c r="AD10" s="474">
        <v>1</v>
      </c>
      <c r="AE10" s="475" t="s">
        <v>415</v>
      </c>
      <c r="AF10" s="476">
        <v>3300</v>
      </c>
      <c r="AG10" s="475" t="s">
        <v>311</v>
      </c>
      <c r="AH10" s="477">
        <f>AF10/$AE$7^2</f>
        <v>40.858691712863092</v>
      </c>
      <c r="AI10" s="475" t="s">
        <v>311</v>
      </c>
      <c r="AJ10" s="478" t="s">
        <v>416</v>
      </c>
      <c r="AK10" s="479"/>
      <c r="AL10" s="479"/>
      <c r="AM10" s="480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83"/>
      <c r="AD11" s="474">
        <v>2</v>
      </c>
      <c r="AE11" s="475" t="str">
        <f>_xlfn.CONCAT("- ",$C$5*100,"%")</f>
        <v>- 0%</v>
      </c>
      <c r="AF11" s="481">
        <f>AF10*(1-$AE$6)</f>
        <v>2475</v>
      </c>
      <c r="AG11" s="481">
        <f>AF11-AF10</f>
        <v>-825</v>
      </c>
      <c r="AH11" s="477">
        <f>AF11/$AE$7^2</f>
        <v>30.644018784647319</v>
      </c>
      <c r="AI11" s="482">
        <f>AH11-AH10</f>
        <v>-10.214672928215773</v>
      </c>
      <c r="AJ11" s="483" t="s">
        <v>417</v>
      </c>
      <c r="AK11" s="478" t="s">
        <v>416</v>
      </c>
      <c r="AL11" s="479"/>
      <c r="AM11" s="480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0.28676640406290782</v>
      </c>
      <c r="D12" s="145">
        <f t="shared" si="0"/>
        <v>0.31254332966075499</v>
      </c>
      <c r="E12" s="145">
        <f t="shared" si="0"/>
        <v>0.32346887469777835</v>
      </c>
      <c r="F12" s="145">
        <f t="shared" si="0"/>
        <v>0.33513698481302262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83"/>
      <c r="AD12" s="474">
        <v>3</v>
      </c>
      <c r="AE12" s="475" t="str">
        <f>_xlfn.CONCAT("- ",$C$5*100,"%")</f>
        <v>- 0%</v>
      </c>
      <c r="AF12" s="481">
        <f>AF11*(1-$AE$6)</f>
        <v>1856.25</v>
      </c>
      <c r="AG12" s="481">
        <f>AF12-AF11</f>
        <v>-618.75</v>
      </c>
      <c r="AH12" s="477">
        <f>AF12/$AE$7^2</f>
        <v>22.983014088485486</v>
      </c>
      <c r="AI12" s="482">
        <f>AH12-AH11</f>
        <v>-7.6610046961618323</v>
      </c>
      <c r="AJ12" s="479"/>
      <c r="AK12" s="483" t="s">
        <v>417</v>
      </c>
      <c r="AL12" s="478" t="s">
        <v>416</v>
      </c>
      <c r="AM12" s="480"/>
    </row>
    <row r="13" spans="1:39" x14ac:dyDescent="0.25">
      <c r="B13" s="438">
        <v>1574.8327483000005</v>
      </c>
      <c r="C13" s="145">
        <f t="shared" si="0"/>
        <v>0.28986573838340329</v>
      </c>
      <c r="D13" s="145">
        <f t="shared" si="0"/>
        <v>0.31622847377154972</v>
      </c>
      <c r="E13" s="447">
        <f t="shared" si="0"/>
        <v>0.32741779203367533</v>
      </c>
      <c r="F13" s="145">
        <f t="shared" si="0"/>
        <v>0.33937779714249661</v>
      </c>
      <c r="G13" s="145"/>
      <c r="H13" s="146"/>
      <c r="J13" s="99"/>
      <c r="L13" s="87"/>
      <c r="M13" s="381"/>
      <c r="AC13" s="983"/>
      <c r="AD13" s="474">
        <v>4</v>
      </c>
      <c r="AE13" s="475" t="str">
        <f>_xlfn.CONCAT("- ",$C$5*100,"%")</f>
        <v>- 0%</v>
      </c>
      <c r="AF13" s="481">
        <f>AF12*(1-$AE$6)</f>
        <v>1392.1875</v>
      </c>
      <c r="AG13" s="481">
        <f>AF13-AF12</f>
        <v>-464.0625</v>
      </c>
      <c r="AH13" s="477">
        <f>AF13/$AE$7^2</f>
        <v>17.237260566364117</v>
      </c>
      <c r="AI13" s="482">
        <f>AH13-AH12</f>
        <v>-5.7457535221213689</v>
      </c>
      <c r="AJ13" s="479"/>
      <c r="AK13" s="479"/>
      <c r="AL13" s="483" t="s">
        <v>417</v>
      </c>
      <c r="AM13" s="484" t="s">
        <v>416</v>
      </c>
    </row>
    <row r="14" spans="1:39" ht="15.75" thickBot="1" x14ac:dyDescent="0.3">
      <c r="B14" s="442">
        <v>1401.4905020000003</v>
      </c>
      <c r="C14" s="145">
        <f t="shared" si="0"/>
        <v>0.29503360754821828</v>
      </c>
      <c r="D14" s="145">
        <f t="shared" si="0"/>
        <v>0.32238909416033845</v>
      </c>
      <c r="E14" s="145">
        <f t="shared" si="0"/>
        <v>0.33402665170649154</v>
      </c>
      <c r="F14" s="145">
        <f t="shared" si="0"/>
        <v>0.34648353468710918</v>
      </c>
      <c r="G14" s="145"/>
      <c r="H14" s="146"/>
      <c r="J14" s="262" t="s">
        <v>389</v>
      </c>
      <c r="K14" s="443">
        <v>95</v>
      </c>
      <c r="L14" s="87" t="s">
        <v>69</v>
      </c>
      <c r="M14" s="381"/>
      <c r="AC14" s="983"/>
      <c r="AD14" s="485">
        <v>5</v>
      </c>
      <c r="AE14" s="486" t="str">
        <f>_xlfn.CONCAT("- ",$C$5*100,"%")</f>
        <v>- 0%</v>
      </c>
      <c r="AF14" s="487">
        <f>AF13*(1-$AE$6)</f>
        <v>1044.140625</v>
      </c>
      <c r="AG14" s="487">
        <f>AF14-AF13</f>
        <v>-348.046875</v>
      </c>
      <c r="AH14" s="488">
        <f>AF14/$AE$7^2</f>
        <v>12.927945424773087</v>
      </c>
      <c r="AI14" s="489">
        <f>AH14-AH13</f>
        <v>-4.3093151415910302</v>
      </c>
      <c r="AJ14" s="490"/>
      <c r="AK14" s="490"/>
      <c r="AL14" s="490"/>
      <c r="AM14" s="491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/>
      <c r="AC15" s="983"/>
      <c r="AG15" s="454"/>
      <c r="AH15" s="454"/>
      <c r="AI15" s="492"/>
      <c r="AJ15" s="493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0.2993946675091525</v>
      </c>
      <c r="D16" s="145">
        <f t="shared" si="1"/>
        <v>0.3276035067443881</v>
      </c>
      <c r="E16" s="145">
        <f t="shared" si="1"/>
        <v>0.33962758741522103</v>
      </c>
      <c r="F16" s="145">
        <f t="shared" si="1"/>
        <v>0.35251378321119398</v>
      </c>
      <c r="G16" s="145"/>
      <c r="H16" s="146"/>
      <c r="J16" s="262" t="s">
        <v>391</v>
      </c>
      <c r="K16" s="278">
        <f>(K21*K14/(K14+K21)*1000)*((2*$K$11)^2/2)*(6.28/360)</f>
        <v>2217.7741137559033</v>
      </c>
      <c r="L16" s="87" t="s">
        <v>392</v>
      </c>
      <c r="M16" s="381"/>
      <c r="AC16" s="983"/>
      <c r="AD16" s="425" t="s">
        <v>418</v>
      </c>
      <c r="AE16" s="69"/>
      <c r="AF16" s="69"/>
      <c r="AG16" s="69"/>
      <c r="AH16" s="69"/>
      <c r="AI16" s="494"/>
      <c r="AJ16" s="494"/>
      <c r="AK16" s="495"/>
      <c r="AL16" s="496"/>
    </row>
    <row r="17" spans="2:40" x14ac:dyDescent="0.25">
      <c r="B17" s="438">
        <v>1121.1924016000003</v>
      </c>
      <c r="C17" s="145">
        <f t="shared" si="1"/>
        <v>0.30379163243957014</v>
      </c>
      <c r="D17" s="145">
        <f t="shared" si="1"/>
        <v>0.332875360139754</v>
      </c>
      <c r="E17" s="145">
        <f t="shared" si="1"/>
        <v>0.34529687836231282</v>
      </c>
      <c r="F17" s="145">
        <f t="shared" si="1"/>
        <v>0.35862531648036999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83"/>
      <c r="AD17" s="497" t="s">
        <v>419</v>
      </c>
      <c r="AE17" s="988" t="s">
        <v>420</v>
      </c>
      <c r="AF17" s="973"/>
      <c r="AG17" s="973"/>
      <c r="AH17" s="996"/>
      <c r="AI17" s="973" t="s">
        <v>421</v>
      </c>
      <c r="AJ17" s="973"/>
      <c r="AK17" s="973"/>
      <c r="AL17" s="974"/>
    </row>
    <row r="18" spans="2:40" ht="15.75" thickBot="1" x14ac:dyDescent="0.3">
      <c r="B18" s="444">
        <v>1009.0731614400001</v>
      </c>
      <c r="C18" s="145">
        <f t="shared" si="1"/>
        <v>0.30744218105803883</v>
      </c>
      <c r="D18" s="145">
        <f t="shared" si="1"/>
        <v>0.33726339156452806</v>
      </c>
      <c r="E18" s="145">
        <f t="shared" si="1"/>
        <v>0.35002082974013943</v>
      </c>
      <c r="F18" s="145">
        <f t="shared" si="1"/>
        <v>0.36372368714083358</v>
      </c>
      <c r="G18" s="145"/>
      <c r="H18" s="146"/>
      <c r="J18" s="100"/>
      <c r="K18" s="88"/>
      <c r="L18" s="142"/>
      <c r="M18" s="381"/>
      <c r="AC18" s="983"/>
      <c r="AD18" s="498">
        <v>1</v>
      </c>
      <c r="AE18" s="975">
        <v>40.9</v>
      </c>
      <c r="AF18" s="976"/>
      <c r="AG18" s="976"/>
      <c r="AH18" s="977"/>
      <c r="AI18" s="976">
        <v>30.6</v>
      </c>
      <c r="AJ18" s="976"/>
      <c r="AK18" s="976"/>
      <c r="AL18" s="978"/>
      <c r="AN18" s="517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83"/>
      <c r="AD19" s="498">
        <v>2</v>
      </c>
      <c r="AE19" s="975">
        <v>30.6</v>
      </c>
      <c r="AF19" s="976"/>
      <c r="AG19" s="976"/>
      <c r="AH19" s="977"/>
      <c r="AI19" s="979">
        <v>23</v>
      </c>
      <c r="AJ19" s="979"/>
      <c r="AK19" s="979"/>
      <c r="AL19" s="980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0.31308552583413357</v>
      </c>
      <c r="D20" s="145">
        <f t="shared" si="2"/>
        <v>0.34406672917683001</v>
      </c>
      <c r="E20" s="145">
        <f t="shared" si="2"/>
        <v>0.35735418808726221</v>
      </c>
      <c r="F20" s="145">
        <f t="shared" si="2"/>
        <v>0.37164896791619589</v>
      </c>
      <c r="G20" s="145"/>
      <c r="H20" s="146"/>
      <c r="J20" s="86" t="s">
        <v>394</v>
      </c>
      <c r="K20" s="69"/>
      <c r="L20" s="70"/>
      <c r="M20" s="381"/>
      <c r="AC20" s="983"/>
      <c r="AD20" s="515">
        <v>3</v>
      </c>
      <c r="AE20" s="993">
        <v>23</v>
      </c>
      <c r="AF20" s="967"/>
      <c r="AG20" s="967"/>
      <c r="AH20" s="994"/>
      <c r="AI20" s="967">
        <v>17.2</v>
      </c>
      <c r="AJ20" s="967"/>
      <c r="AK20" s="967"/>
      <c r="AL20" s="968"/>
    </row>
    <row r="21" spans="2:40" ht="15.75" thickBot="1" x14ac:dyDescent="0.3">
      <c r="B21" s="438">
        <v>760</v>
      </c>
      <c r="C21" s="145">
        <f t="shared" si="2"/>
        <v>0.31587443349461103</v>
      </c>
      <c r="D21" s="560">
        <f t="shared" si="2"/>
        <v>0.34743786691848599</v>
      </c>
      <c r="E21" s="560">
        <f t="shared" si="2"/>
        <v>0.36099210900310147</v>
      </c>
      <c r="F21" s="145">
        <f t="shared" si="2"/>
        <v>0.37558535913570079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83"/>
      <c r="AD21" s="499">
        <v>4</v>
      </c>
      <c r="AE21" s="969">
        <v>17.2</v>
      </c>
      <c r="AF21" s="970"/>
      <c r="AG21" s="970"/>
      <c r="AH21" s="971"/>
      <c r="AI21" s="970">
        <v>12.9</v>
      </c>
      <c r="AJ21" s="970"/>
      <c r="AK21" s="970"/>
      <c r="AL21" s="972"/>
    </row>
    <row r="22" spans="2:40" x14ac:dyDescent="0.25">
      <c r="B22" s="438">
        <v>672.71544096000025</v>
      </c>
      <c r="C22" s="145">
        <f t="shared" si="2"/>
        <v>0.31893992081865796</v>
      </c>
      <c r="D22" s="560">
        <f t="shared" si="2"/>
        <v>0.35115019396265401</v>
      </c>
      <c r="E22" s="560">
        <f t="shared" si="2"/>
        <v>0.36500140771644218</v>
      </c>
      <c r="F22" s="145">
        <f t="shared" si="2"/>
        <v>0.3799273143413337</v>
      </c>
      <c r="G22" s="145"/>
      <c r="H22" s="146"/>
      <c r="J22" s="448"/>
      <c r="K22" s="449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50">
        <v>0</v>
      </c>
      <c r="C23" s="451">
        <f t="shared" si="2"/>
        <v>0.34472393143247687</v>
      </c>
      <c r="D23" s="451">
        <f t="shared" si="2"/>
        <v>0.38266240406634405</v>
      </c>
      <c r="E23" s="451">
        <f t="shared" si="2"/>
        <v>0.39916961298852971</v>
      </c>
      <c r="F23" s="451">
        <f t="shared" si="2"/>
        <v>0.41708937609361463</v>
      </c>
      <c r="G23" s="451"/>
      <c r="H23" s="452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3">
        <f>(2*K12)^2*(K23*1000)/(2*360/6.28)</f>
        <v>22608872222.222229</v>
      </c>
      <c r="L24" s="142" t="s">
        <v>392</v>
      </c>
      <c r="M24" s="381"/>
      <c r="R24" s="454"/>
      <c r="AC24" s="983" t="s">
        <v>244</v>
      </c>
      <c r="AD24" s="437" t="s">
        <v>400</v>
      </c>
      <c r="AE24" s="463" t="s">
        <v>401</v>
      </c>
      <c r="AF24" s="464" t="s">
        <v>402</v>
      </c>
    </row>
    <row r="25" spans="2:40" ht="15.75" thickBot="1" x14ac:dyDescent="0.3">
      <c r="B25" s="437" t="s">
        <v>383</v>
      </c>
      <c r="C25" s="981" t="s">
        <v>395</v>
      </c>
      <c r="D25" s="981"/>
      <c r="E25" s="981"/>
      <c r="F25" s="981"/>
      <c r="G25" s="981"/>
      <c r="H25" s="982"/>
      <c r="R25" s="454"/>
      <c r="S25" s="455"/>
      <c r="AC25" s="983"/>
      <c r="AD25" s="465" t="s">
        <v>17</v>
      </c>
      <c r="AE25" s="279">
        <v>630</v>
      </c>
      <c r="AF25" s="466">
        <v>2100</v>
      </c>
      <c r="AG25" s="467" t="s">
        <v>403</v>
      </c>
    </row>
    <row r="26" spans="2:40" ht="15.75" thickBot="1" x14ac:dyDescent="0.3">
      <c r="B26" s="438"/>
      <c r="C26" s="456"/>
      <c r="D26" s="456"/>
      <c r="E26" s="456"/>
      <c r="F26" s="456"/>
      <c r="G26" s="456"/>
      <c r="H26" s="457"/>
      <c r="R26" s="454"/>
      <c r="S26" s="455"/>
      <c r="AC26" s="983"/>
    </row>
    <row r="27" spans="2:40" ht="15.75" thickBot="1" x14ac:dyDescent="0.3">
      <c r="B27" s="438">
        <v>1889.7992979600006</v>
      </c>
      <c r="C27" s="456">
        <f>((C$2*$K$22/(C$2+$K$22))+$K$16)/((C$2*$K$22/(C$2+$K$22))+($B27*$K$24/($B27+$K$24))+$K$16+$K$17)</f>
        <v>0.5403716011059968</v>
      </c>
      <c r="D27" s="456">
        <f>((D$2*$K$22/(D$2+$K$22))+$K$16)/((D$2*$K$22/(D$2+$K$22))+($B27*$K$24/($B27+$K$24))+$K$16+$K$17)</f>
        <v>0.49997202788798806</v>
      </c>
      <c r="E27" s="456">
        <f>((E$2*$K$22/(E$2+$K$22))+$K$16)/((E$2*$K$22/(E$2+$K$22))+($B27*$K$24/($B27+$K$24))+$K$16+$K$17)</f>
        <v>0.48289320504012256</v>
      </c>
      <c r="F27" s="456">
        <f>((F$2*$K$22/(F$2+$K$22))+$K$16)/((F$2*$K$22/(F$2+$K$22))+($B27*$K$24/($B27+$K$24))+$K$16+$K$17)</f>
        <v>0.46468277786558387</v>
      </c>
      <c r="G27" s="456"/>
      <c r="H27" s="457"/>
      <c r="J27" s="995" t="s">
        <v>396</v>
      </c>
      <c r="R27" s="454"/>
      <c r="S27" s="455"/>
      <c r="AC27" s="983"/>
      <c r="AD27" s="500" t="s">
        <v>422</v>
      </c>
      <c r="AE27" s="501">
        <v>6.0730000000000004</v>
      </c>
      <c r="AF27" s="502" t="s">
        <v>406</v>
      </c>
    </row>
    <row r="28" spans="2:40" ht="15.75" thickBot="1" x14ac:dyDescent="0.3">
      <c r="B28" s="438"/>
      <c r="C28" s="456"/>
      <c r="D28" s="456"/>
      <c r="E28" s="456"/>
      <c r="F28" s="456"/>
      <c r="G28" s="456"/>
      <c r="H28" s="457"/>
      <c r="J28" s="995"/>
      <c r="R28" s="454"/>
      <c r="S28" s="455"/>
      <c r="AC28" s="983"/>
    </row>
    <row r="29" spans="2:40" x14ac:dyDescent="0.25">
      <c r="B29" s="438">
        <v>1681.7886024000004</v>
      </c>
      <c r="C29" s="456">
        <f t="shared" ref="C29:F31" si="3">((C$2*$K$22/(C$2+$K$22))+$K$16)/((C$2*$K$22/(C$2+$K$22))+($B29*$K$24/($B29+$K$24))+$K$16+$K$17)</f>
        <v>0.55160846593886981</v>
      </c>
      <c r="D29" s="456">
        <f t="shared" si="3"/>
        <v>0.51130334285456747</v>
      </c>
      <c r="E29" s="456">
        <f t="shared" si="3"/>
        <v>0.49422002406199983</v>
      </c>
      <c r="F29" s="456">
        <f t="shared" si="3"/>
        <v>0.47597562123083409</v>
      </c>
      <c r="G29" s="456"/>
      <c r="H29" s="457"/>
      <c r="R29" s="454"/>
      <c r="S29" s="455"/>
      <c r="AC29" s="983"/>
      <c r="AD29" s="469" t="s">
        <v>423</v>
      </c>
      <c r="AE29" s="984" t="s">
        <v>424</v>
      </c>
      <c r="AF29" s="984"/>
      <c r="AG29" s="470" t="s">
        <v>409</v>
      </c>
      <c r="AH29" s="470" t="s">
        <v>410</v>
      </c>
      <c r="AI29" s="470" t="s">
        <v>409</v>
      </c>
      <c r="AJ29" s="503" t="s">
        <v>411</v>
      </c>
      <c r="AK29" s="597" t="s">
        <v>412</v>
      </c>
      <c r="AL29" s="471" t="s">
        <v>413</v>
      </c>
      <c r="AM29" s="471" t="s">
        <v>414</v>
      </c>
      <c r="AN29" s="596" t="s">
        <v>425</v>
      </c>
    </row>
    <row r="30" spans="2:40" x14ac:dyDescent="0.25">
      <c r="B30" s="438">
        <v>1574.8327483000005</v>
      </c>
      <c r="C30" s="456">
        <f t="shared" si="3"/>
        <v>0.55757017911634921</v>
      </c>
      <c r="D30" s="456">
        <f t="shared" si="3"/>
        <v>0.51733203175602449</v>
      </c>
      <c r="E30" s="458">
        <f t="shared" si="3"/>
        <v>0.50025347634574524</v>
      </c>
      <c r="F30" s="456">
        <f t="shared" si="3"/>
        <v>0.48199860101079162</v>
      </c>
      <c r="G30" s="456"/>
      <c r="H30" s="457"/>
      <c r="J30" s="84" t="s">
        <v>397</v>
      </c>
      <c r="K30" s="84" t="s">
        <v>399</v>
      </c>
      <c r="L30" s="84" t="s">
        <v>384</v>
      </c>
      <c r="M30" s="84" t="s">
        <v>398</v>
      </c>
      <c r="R30" s="454"/>
      <c r="S30" s="455"/>
      <c r="AC30" s="983"/>
      <c r="AD30" s="474">
        <v>1</v>
      </c>
      <c r="AE30" s="475" t="s">
        <v>415</v>
      </c>
      <c r="AF30" s="504">
        <v>2100</v>
      </c>
      <c r="AG30" s="475" t="s">
        <v>311</v>
      </c>
      <c r="AH30" s="477">
        <f>AF30/$AE$27^2</f>
        <v>56.939379814648206</v>
      </c>
      <c r="AI30" s="475" t="s">
        <v>311</v>
      </c>
      <c r="AJ30" s="505">
        <v>1</v>
      </c>
      <c r="AK30" s="506"/>
      <c r="AL30" s="506"/>
      <c r="AM30" s="506"/>
      <c r="AN30" s="507"/>
    </row>
    <row r="31" spans="2:40" x14ac:dyDescent="0.25">
      <c r="B31" s="438">
        <v>1401.4905020000003</v>
      </c>
      <c r="C31" s="456">
        <f t="shared" si="3"/>
        <v>0.56751081491534283</v>
      </c>
      <c r="D31" s="456">
        <f t="shared" si="3"/>
        <v>0.52741046088860188</v>
      </c>
      <c r="E31" s="456">
        <f t="shared" si="3"/>
        <v>0.51035098816839986</v>
      </c>
      <c r="F31" s="456">
        <f t="shared" si="3"/>
        <v>0.49209046790512195</v>
      </c>
      <c r="G31" s="456"/>
      <c r="H31" s="457"/>
      <c r="J31" s="89" t="s">
        <v>13</v>
      </c>
      <c r="R31" s="454"/>
      <c r="S31" s="455"/>
      <c r="AC31" s="983"/>
      <c r="AD31" s="474">
        <v>2</v>
      </c>
      <c r="AE31" s="475"/>
      <c r="AF31" s="504">
        <v>1889.7992979600006</v>
      </c>
      <c r="AG31" s="481">
        <f>AF31-AF30</f>
        <v>-210.20070203999944</v>
      </c>
      <c r="AH31" s="477">
        <f t="shared" ref="AH31:AH44" si="4">AF31/$AE$27^2</f>
        <v>51.24</v>
      </c>
      <c r="AI31" s="482">
        <f>AH31-AH30</f>
        <v>-5.6993798146482035</v>
      </c>
      <c r="AJ31" s="505"/>
      <c r="AK31" s="505">
        <v>1</v>
      </c>
      <c r="AL31" s="506"/>
      <c r="AM31" s="506"/>
      <c r="AN31" s="507"/>
    </row>
    <row r="32" spans="2:40" x14ac:dyDescent="0.25">
      <c r="B32" s="438"/>
      <c r="C32" s="456"/>
      <c r="D32" s="456"/>
      <c r="E32" s="456"/>
      <c r="F32" s="456"/>
      <c r="G32" s="456"/>
      <c r="H32" s="457"/>
      <c r="J32" s="89" t="s">
        <v>17</v>
      </c>
      <c r="R32" s="454"/>
      <c r="S32" s="455"/>
      <c r="AC32" s="983"/>
      <c r="AD32" s="474">
        <v>3</v>
      </c>
      <c r="AE32" s="475"/>
      <c r="AF32" s="504">
        <v>1750</v>
      </c>
      <c r="AG32" s="481">
        <f t="shared" ref="AG32:AG44" si="5">AF32-AF31</f>
        <v>-139.79929796000056</v>
      </c>
      <c r="AH32" s="508">
        <f>AF32/$AE$27^2</f>
        <v>47.449483178873507</v>
      </c>
      <c r="AI32" s="482">
        <f t="shared" ref="AI32:AI44" si="6">AH32-AH31</f>
        <v>-3.790516821126495</v>
      </c>
      <c r="AJ32" s="509">
        <v>2</v>
      </c>
      <c r="AK32" s="505"/>
      <c r="AL32" s="510"/>
      <c r="AM32" s="506"/>
      <c r="AN32" s="507"/>
    </row>
    <row r="33" spans="2:40" x14ac:dyDescent="0.25">
      <c r="B33" s="438">
        <v>1259.8661986400004</v>
      </c>
      <c r="C33" s="456">
        <f t="shared" ref="C33:F35" si="7">((C$2*$K$22/(C$2+$K$22))+$K$16)/((C$2*$K$22/(C$2+$K$22))+($B33*$K$24/($B33+$K$24))+$K$16+$K$17)</f>
        <v>0.57589951582603471</v>
      </c>
      <c r="D33" s="456">
        <f t="shared" si="7"/>
        <v>0.53594094716754892</v>
      </c>
      <c r="E33" s="456">
        <f t="shared" si="7"/>
        <v>0.51890851811103889</v>
      </c>
      <c r="F33" s="456">
        <f t="shared" si="7"/>
        <v>0.50065488012309589</v>
      </c>
      <c r="G33" s="456"/>
      <c r="H33" s="457"/>
      <c r="R33" s="454"/>
      <c r="S33" s="455"/>
      <c r="AC33" s="983"/>
      <c r="AD33" s="474">
        <v>4</v>
      </c>
      <c r="AE33" s="475"/>
      <c r="AF33" s="504">
        <v>1681.7886024000004</v>
      </c>
      <c r="AG33" s="481">
        <f t="shared" si="5"/>
        <v>-68.2113975999996</v>
      </c>
      <c r="AH33" s="477">
        <f t="shared" si="4"/>
        <v>45.6</v>
      </c>
      <c r="AI33" s="482">
        <f t="shared" si="6"/>
        <v>-1.8494831788735056</v>
      </c>
      <c r="AJ33" s="509"/>
      <c r="AK33" s="509"/>
      <c r="AL33" s="505">
        <v>1</v>
      </c>
      <c r="AM33" s="510"/>
      <c r="AN33" s="507"/>
    </row>
    <row r="34" spans="2:40" x14ac:dyDescent="0.25">
      <c r="B34" s="438">
        <v>1121.1924016000003</v>
      </c>
      <c r="C34" s="456">
        <f t="shared" si="7"/>
        <v>0.58435728160923506</v>
      </c>
      <c r="D34" s="456">
        <f t="shared" si="7"/>
        <v>0.54456540338939696</v>
      </c>
      <c r="E34" s="456">
        <f t="shared" si="7"/>
        <v>0.52757048631711123</v>
      </c>
      <c r="F34" s="456">
        <f t="shared" si="7"/>
        <v>0.50933473634992166</v>
      </c>
      <c r="G34" s="456"/>
      <c r="H34" s="457"/>
      <c r="R34" s="454"/>
      <c r="S34" s="455"/>
      <c r="AC34" s="983"/>
      <c r="AD34" s="474">
        <v>5</v>
      </c>
      <c r="AE34" s="475"/>
      <c r="AF34" s="504">
        <v>1574.8327483000005</v>
      </c>
      <c r="AG34" s="481">
        <f t="shared" si="5"/>
        <v>-106.9558540999999</v>
      </c>
      <c r="AH34" s="508">
        <f t="shared" si="4"/>
        <v>42.7</v>
      </c>
      <c r="AI34" s="482">
        <f t="shared" si="6"/>
        <v>-2.8999999999999986</v>
      </c>
      <c r="AJ34" s="509"/>
      <c r="AK34" s="509">
        <v>2</v>
      </c>
      <c r="AL34" s="509"/>
      <c r="AM34" s="510"/>
      <c r="AN34" s="507"/>
    </row>
    <row r="35" spans="2:40" x14ac:dyDescent="0.25">
      <c r="B35" s="438">
        <v>1009.0731614400001</v>
      </c>
      <c r="C35" s="456">
        <f t="shared" si="7"/>
        <v>0.59137928103015414</v>
      </c>
      <c r="D35" s="456">
        <f t="shared" si="7"/>
        <v>0.55174397648028062</v>
      </c>
      <c r="E35" s="456">
        <f t="shared" si="7"/>
        <v>0.53478809377872105</v>
      </c>
      <c r="F35" s="456">
        <f t="shared" si="7"/>
        <v>0.51657565648809478</v>
      </c>
      <c r="G35" s="456"/>
      <c r="H35" s="457"/>
      <c r="R35" s="454"/>
      <c r="S35" s="455"/>
      <c r="AC35" s="983"/>
      <c r="AD35" s="474">
        <v>6</v>
      </c>
      <c r="AE35" s="475"/>
      <c r="AF35" s="504">
        <v>1401.4905020000003</v>
      </c>
      <c r="AG35" s="481">
        <f t="shared" si="5"/>
        <v>-173.34224630000017</v>
      </c>
      <c r="AH35" s="508">
        <f t="shared" si="4"/>
        <v>38</v>
      </c>
      <c r="AI35" s="482">
        <f t="shared" si="6"/>
        <v>-4.7000000000000028</v>
      </c>
      <c r="AJ35" s="509"/>
      <c r="AK35" s="509"/>
      <c r="AL35" s="509">
        <v>2</v>
      </c>
      <c r="AM35" s="506"/>
      <c r="AN35" s="507"/>
    </row>
    <row r="36" spans="2:40" x14ac:dyDescent="0.25">
      <c r="B36" s="438"/>
      <c r="C36" s="456"/>
      <c r="D36" s="456"/>
      <c r="E36" s="456"/>
      <c r="F36" s="456"/>
      <c r="G36" s="456"/>
      <c r="H36" s="457"/>
      <c r="AC36" s="983"/>
      <c r="AD36" s="474">
        <v>7</v>
      </c>
      <c r="AE36" s="475"/>
      <c r="AF36" s="504">
        <v>1400</v>
      </c>
      <c r="AG36" s="481">
        <f t="shared" si="5"/>
        <v>-1.4905020000003333</v>
      </c>
      <c r="AH36" s="477">
        <f t="shared" si="4"/>
        <v>37.959586543098801</v>
      </c>
      <c r="AI36" s="482">
        <f t="shared" si="6"/>
        <v>-4.0413456901198686E-2</v>
      </c>
      <c r="AJ36" s="509">
        <v>3</v>
      </c>
      <c r="AK36" s="509"/>
      <c r="AL36" s="509"/>
      <c r="AM36" s="506"/>
      <c r="AN36" s="507"/>
    </row>
    <row r="37" spans="2:40" x14ac:dyDescent="0.25">
      <c r="B37" s="438">
        <v>840.8943012000002</v>
      </c>
      <c r="C37" s="456">
        <f t="shared" ref="C37:F38" si="8">((C$2*$K$22/(C$2+$K$22))+$K$16)/((C$2*$K$22/(C$2+$K$22))+($B37*$K$24/($B37+$K$24))+$K$16+$K$17)</f>
        <v>0.60223451619927415</v>
      </c>
      <c r="D37" s="456">
        <f t="shared" si="8"/>
        <v>0.56287385491190145</v>
      </c>
      <c r="E37" s="456">
        <f t="shared" si="8"/>
        <v>0.54599254905175632</v>
      </c>
      <c r="F37" s="456">
        <f t="shared" si="8"/>
        <v>0.52783147309868594</v>
      </c>
      <c r="G37" s="456"/>
      <c r="H37" s="457"/>
      <c r="AC37" s="983"/>
      <c r="AD37" s="474">
        <v>8</v>
      </c>
      <c r="AE37" s="475"/>
      <c r="AF37" s="504">
        <v>1259.8661986400004</v>
      </c>
      <c r="AG37" s="481">
        <f t="shared" si="5"/>
        <v>-140.13380135999955</v>
      </c>
      <c r="AH37" s="477">
        <f t="shared" si="4"/>
        <v>34.160000000000004</v>
      </c>
      <c r="AI37" s="482">
        <f t="shared" si="6"/>
        <v>-3.7995865430987976</v>
      </c>
      <c r="AJ37" s="506"/>
      <c r="AK37" s="509">
        <v>3</v>
      </c>
      <c r="AL37" s="509"/>
      <c r="AM37" s="506"/>
      <c r="AN37" s="507"/>
    </row>
    <row r="38" spans="2:40" x14ac:dyDescent="0.25">
      <c r="B38" s="438">
        <v>760</v>
      </c>
      <c r="C38" s="456">
        <f t="shared" si="8"/>
        <v>0.60759910931215377</v>
      </c>
      <c r="D38" s="691">
        <f t="shared" si="8"/>
        <v>0.56838884702004477</v>
      </c>
      <c r="E38" s="691">
        <f t="shared" si="8"/>
        <v>0.55155083766373336</v>
      </c>
      <c r="F38" s="456">
        <f t="shared" si="8"/>
        <v>0.53342210123290035</v>
      </c>
      <c r="G38" s="456"/>
      <c r="H38" s="457"/>
      <c r="AC38" s="983"/>
      <c r="AD38" s="474">
        <v>9</v>
      </c>
      <c r="AE38" s="475"/>
      <c r="AF38" s="504">
        <v>1121.1924016000003</v>
      </c>
      <c r="AG38" s="481">
        <f t="shared" si="5"/>
        <v>-138.67379704000018</v>
      </c>
      <c r="AH38" s="477">
        <f t="shared" si="4"/>
        <v>30.400000000000002</v>
      </c>
      <c r="AI38" s="482">
        <f t="shared" si="6"/>
        <v>-3.7600000000000016</v>
      </c>
      <c r="AJ38" s="506"/>
      <c r="AK38" s="506"/>
      <c r="AL38" s="509">
        <v>3</v>
      </c>
      <c r="AM38" s="506"/>
      <c r="AN38" s="507"/>
    </row>
    <row r="39" spans="2:40" x14ac:dyDescent="0.25">
      <c r="B39" s="438">
        <v>672.71544096000025</v>
      </c>
      <c r="C39" s="456">
        <f t="shared" ref="C39:F40" si="9">((C$2*$K$22/(C$2+$K$22))+$K$16)/((C$2*$K$22/(C$2+$K$22))+($B39*$K$24/($B39+$K$24))+$K$16+$K$17)</f>
        <v>0.61349571622361621</v>
      </c>
      <c r="D39" s="561">
        <f t="shared" si="9"/>
        <v>0.57446200567459926</v>
      </c>
      <c r="E39" s="561">
        <f t="shared" si="9"/>
        <v>0.5576765451477389</v>
      </c>
      <c r="F39" s="456">
        <f t="shared" si="9"/>
        <v>0.53958872837347271</v>
      </c>
      <c r="G39" s="456"/>
      <c r="H39" s="457"/>
      <c r="AC39" s="983"/>
      <c r="AD39" s="474">
        <v>10</v>
      </c>
      <c r="AE39" s="475"/>
      <c r="AF39" s="504">
        <v>1009.0731614400001</v>
      </c>
      <c r="AG39" s="481">
        <f t="shared" si="5"/>
        <v>-112.11924016000012</v>
      </c>
      <c r="AH39" s="477">
        <f t="shared" si="4"/>
        <v>27.36</v>
      </c>
      <c r="AI39" s="482">
        <f t="shared" si="6"/>
        <v>-3.0400000000000027</v>
      </c>
      <c r="AJ39" s="506"/>
      <c r="AK39" s="506"/>
      <c r="AL39" s="506"/>
      <c r="AM39" s="509">
        <v>1</v>
      </c>
      <c r="AN39" s="507"/>
    </row>
    <row r="40" spans="2:40" ht="15.75" thickBot="1" x14ac:dyDescent="0.3">
      <c r="B40" s="450">
        <v>0</v>
      </c>
      <c r="C40" s="459">
        <f t="shared" si="9"/>
        <v>0.66309245537762174</v>
      </c>
      <c r="D40" s="459">
        <f t="shared" si="9"/>
        <v>0.62601421248138367</v>
      </c>
      <c r="E40" s="459">
        <f t="shared" si="9"/>
        <v>0.60988129358761223</v>
      </c>
      <c r="F40" s="459">
        <f t="shared" si="9"/>
        <v>0.59236784924140384</v>
      </c>
      <c r="G40" s="459"/>
      <c r="H40" s="460"/>
      <c r="AC40" s="983"/>
      <c r="AD40" s="474">
        <v>11</v>
      </c>
      <c r="AE40" s="475"/>
      <c r="AF40" s="504">
        <v>911.70645288000026</v>
      </c>
      <c r="AG40" s="481">
        <f t="shared" si="5"/>
        <v>-97.366708559999893</v>
      </c>
      <c r="AH40" s="477">
        <f t="shared" si="4"/>
        <v>24.720000000000002</v>
      </c>
      <c r="AI40" s="482">
        <f t="shared" si="6"/>
        <v>-2.639999999999997</v>
      </c>
      <c r="AJ40" s="506"/>
      <c r="AK40" s="506"/>
      <c r="AL40" s="506"/>
      <c r="AM40" s="509"/>
      <c r="AN40" s="511">
        <v>1</v>
      </c>
    </row>
    <row r="41" spans="2:40" x14ac:dyDescent="0.25">
      <c r="AC41" s="983"/>
      <c r="AD41" s="474">
        <v>12</v>
      </c>
      <c r="AE41" s="475"/>
      <c r="AF41" s="504">
        <v>840.8943012000002</v>
      </c>
      <c r="AG41" s="481">
        <f t="shared" si="5"/>
        <v>-70.812151680000056</v>
      </c>
      <c r="AH41" s="508">
        <f t="shared" si="4"/>
        <v>22.8</v>
      </c>
      <c r="AI41" s="482">
        <f t="shared" si="6"/>
        <v>-1.9200000000000017</v>
      </c>
      <c r="AJ41" s="506"/>
      <c r="AK41" s="506"/>
      <c r="AL41" s="506"/>
      <c r="AM41" s="509">
        <v>2</v>
      </c>
      <c r="AN41" s="511"/>
    </row>
    <row r="42" spans="2:40" x14ac:dyDescent="0.25">
      <c r="AC42" s="983"/>
      <c r="AD42" s="474">
        <v>13</v>
      </c>
      <c r="AE42" s="475"/>
      <c r="AF42" s="504">
        <v>759.75537740000027</v>
      </c>
      <c r="AG42" s="481">
        <f t="shared" si="5"/>
        <v>-81.13892379999993</v>
      </c>
      <c r="AH42" s="508">
        <f t="shared" si="4"/>
        <v>20.6</v>
      </c>
      <c r="AI42" s="482">
        <f t="shared" si="6"/>
        <v>-2.1999999999999993</v>
      </c>
      <c r="AJ42" s="506"/>
      <c r="AK42" s="506"/>
      <c r="AL42" s="506"/>
      <c r="AM42" s="509"/>
      <c r="AN42" s="511">
        <v>2</v>
      </c>
    </row>
    <row r="43" spans="2:40" x14ac:dyDescent="0.25">
      <c r="AC43" s="983"/>
      <c r="AD43" s="474">
        <v>14</v>
      </c>
      <c r="AE43" s="475"/>
      <c r="AF43" s="504">
        <v>672.71544096000025</v>
      </c>
      <c r="AG43" s="481">
        <f t="shared" si="5"/>
        <v>-87.03993644000002</v>
      </c>
      <c r="AH43" s="477">
        <f t="shared" si="4"/>
        <v>18.240000000000002</v>
      </c>
      <c r="AI43" s="482">
        <f t="shared" si="6"/>
        <v>-2.3599999999999994</v>
      </c>
      <c r="AJ43" s="506"/>
      <c r="AK43" s="506"/>
      <c r="AL43" s="506"/>
      <c r="AM43" s="509">
        <v>3</v>
      </c>
      <c r="AN43" s="511"/>
    </row>
    <row r="44" spans="2:40" ht="15.75" thickBot="1" x14ac:dyDescent="0.3">
      <c r="AC44" s="983"/>
      <c r="AD44" s="485">
        <v>15</v>
      </c>
      <c r="AE44" s="486"/>
      <c r="AF44" s="512">
        <v>607.80430192000017</v>
      </c>
      <c r="AG44" s="487">
        <f t="shared" si="5"/>
        <v>-64.91113904000008</v>
      </c>
      <c r="AH44" s="488">
        <f t="shared" si="4"/>
        <v>16.48</v>
      </c>
      <c r="AI44" s="489">
        <f t="shared" si="6"/>
        <v>-1.7600000000000016</v>
      </c>
      <c r="AJ44" s="513"/>
      <c r="AK44" s="513"/>
      <c r="AL44" s="513"/>
      <c r="AM44" s="513"/>
      <c r="AN44" s="514">
        <v>3</v>
      </c>
    </row>
    <row r="45" spans="2:40" ht="15.75" thickBot="1" x14ac:dyDescent="0.3">
      <c r="AC45" s="983"/>
      <c r="AG45" s="454"/>
    </row>
    <row r="46" spans="2:40" x14ac:dyDescent="0.25">
      <c r="AC46" s="983"/>
      <c r="AD46" s="425" t="s">
        <v>426</v>
      </c>
      <c r="AE46" s="494"/>
      <c r="AF46" s="494"/>
      <c r="AG46" s="495"/>
      <c r="AH46" s="496"/>
    </row>
    <row r="47" spans="2:40" x14ac:dyDescent="0.25">
      <c r="AC47" s="983"/>
      <c r="AD47" s="497" t="s">
        <v>419</v>
      </c>
      <c r="AE47" s="973" t="s">
        <v>427</v>
      </c>
      <c r="AF47" s="973"/>
      <c r="AG47" s="973"/>
      <c r="AH47" s="974"/>
      <c r="AN47" s="517" t="s">
        <v>241</v>
      </c>
    </row>
    <row r="48" spans="2:40" x14ac:dyDescent="0.25">
      <c r="AC48" s="983"/>
      <c r="AD48" s="497">
        <v>1</v>
      </c>
      <c r="AE48" s="988">
        <v>47.4</v>
      </c>
      <c r="AF48" s="973"/>
      <c r="AG48" s="973"/>
      <c r="AH48" s="974"/>
    </row>
    <row r="49" spans="29:34" x14ac:dyDescent="0.25">
      <c r="AC49" s="983"/>
      <c r="AD49" s="515">
        <v>2</v>
      </c>
      <c r="AE49" s="989">
        <v>42.7</v>
      </c>
      <c r="AF49" s="990"/>
      <c r="AG49" s="990"/>
      <c r="AH49" s="991"/>
    </row>
    <row r="50" spans="29:34" x14ac:dyDescent="0.25">
      <c r="AC50" s="983"/>
      <c r="AD50" s="498">
        <v>3</v>
      </c>
      <c r="AE50" s="992">
        <v>38</v>
      </c>
      <c r="AF50" s="979"/>
      <c r="AG50" s="979"/>
      <c r="AH50" s="980"/>
    </row>
    <row r="51" spans="29:34" x14ac:dyDescent="0.25">
      <c r="AC51" s="983"/>
      <c r="AD51" s="498">
        <v>4</v>
      </c>
      <c r="AE51" s="975">
        <v>22.8</v>
      </c>
      <c r="AF51" s="976"/>
      <c r="AG51" s="976"/>
      <c r="AH51" s="978"/>
    </row>
    <row r="52" spans="29:34" ht="15.75" thickBot="1" x14ac:dyDescent="0.3">
      <c r="AC52" s="983"/>
      <c r="AD52" s="516">
        <v>5</v>
      </c>
      <c r="AE52" s="985">
        <v>20.6</v>
      </c>
      <c r="AF52" s="986"/>
      <c r="AG52" s="986"/>
      <c r="AH52" s="987"/>
    </row>
  </sheetData>
  <mergeCells count="23">
    <mergeCell ref="C8:H8"/>
    <mergeCell ref="C25:H25"/>
    <mergeCell ref="AC3:AC21"/>
    <mergeCell ref="AE29:AF29"/>
    <mergeCell ref="AE52:AH52"/>
    <mergeCell ref="AC24:AC52"/>
    <mergeCell ref="AE47:AH47"/>
    <mergeCell ref="AE48:AH48"/>
    <mergeCell ref="AE49:AH49"/>
    <mergeCell ref="AE50:AH50"/>
    <mergeCell ref="AE51:AH51"/>
    <mergeCell ref="AE20:AH20"/>
    <mergeCell ref="J27:J28"/>
    <mergeCell ref="AE9:AF9"/>
    <mergeCell ref="AE17:AH17"/>
    <mergeCell ref="AI20:AL20"/>
    <mergeCell ref="AE21:AH21"/>
    <mergeCell ref="AI21:AL21"/>
    <mergeCell ref="AI17:AL17"/>
    <mergeCell ref="AE18:AH18"/>
    <mergeCell ref="AI18:AL18"/>
    <mergeCell ref="AE19:AH19"/>
    <mergeCell ref="AI19:AL19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0"/>
  <sheetViews>
    <sheetView showGridLines="0" zoomScale="85" zoomScaleNormal="85" workbookViewId="0">
      <selection activeCell="J12" sqref="J12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6" t="s">
        <v>578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6" si="0">D3*G3^2</f>
        <v>78.720000000000013</v>
      </c>
      <c r="I3" s="276">
        <f>($O$7/G3/2)/D3</f>
        <v>20.802633384146343</v>
      </c>
      <c r="J3" s="311">
        <f>$O$10-(C3-I3)</f>
        <v>21.778633384146346</v>
      </c>
      <c r="K3" s="311">
        <v>5</v>
      </c>
      <c r="L3" s="277">
        <f>J3-K3</f>
        <v>16.778633384146346</v>
      </c>
      <c r="M3" s="78"/>
      <c r="N3" s="262" t="s">
        <v>201</v>
      </c>
      <c r="O3" s="252">
        <v>0.45500000000000002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6" si="1">($O$7/G4/2)/D4</f>
        <v>19.532243559160307</v>
      </c>
      <c r="J4" s="311">
        <f t="shared" ref="J4:J16" si="2">$O$10-(C4-I4)</f>
        <v>20.508243559160306</v>
      </c>
      <c r="K4" s="311">
        <v>5</v>
      </c>
      <c r="L4" s="277">
        <f t="shared" ref="L4:L16" si="3">J4-K4</f>
        <v>15.508243559160306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18.276599330357143</v>
      </c>
      <c r="J5" s="311">
        <f t="shared" si="2"/>
        <v>19.252599330357143</v>
      </c>
      <c r="K5" s="311">
        <v>5</v>
      </c>
      <c r="L5" s="277">
        <f t="shared" si="3"/>
        <v>14.252599330357143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17.172643666107383</v>
      </c>
      <c r="J6" s="312">
        <f t="shared" si="2"/>
        <v>18.148643666107375</v>
      </c>
      <c r="K6" s="312">
        <v>5</v>
      </c>
      <c r="L6" s="295">
        <f t="shared" si="3"/>
        <v>13.148643666107375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9">
        <v>120</v>
      </c>
      <c r="D7" s="297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15.992024414062502</v>
      </c>
      <c r="J7" s="313">
        <f t="shared" si="2"/>
        <v>23.968024414062498</v>
      </c>
      <c r="K7" s="313"/>
      <c r="L7" s="301"/>
      <c r="M7" s="78"/>
      <c r="N7" s="262" t="s">
        <v>208</v>
      </c>
      <c r="O7" s="278">
        <f>(O2*O3-2*O4)*9.81</f>
        <v>4093.9582500000006</v>
      </c>
      <c r="P7" s="87" t="s">
        <v>182</v>
      </c>
      <c r="Q7" s="78"/>
    </row>
    <row r="8" spans="2:24" x14ac:dyDescent="0.25">
      <c r="B8" s="302" t="s">
        <v>26</v>
      </c>
      <c r="C8" s="594">
        <v>127</v>
      </c>
      <c r="D8" s="303">
        <v>166</v>
      </c>
      <c r="E8" s="303" t="s">
        <v>209</v>
      </c>
      <c r="F8" s="303">
        <v>1</v>
      </c>
      <c r="G8" s="304">
        <v>0.8</v>
      </c>
      <c r="H8" s="305">
        <f t="shared" si="0"/>
        <v>106.24000000000002</v>
      </c>
      <c r="I8" s="306">
        <f t="shared" si="1"/>
        <v>15.413999435240965</v>
      </c>
      <c r="J8" s="314">
        <f t="shared" si="2"/>
        <v>16.389999435240966</v>
      </c>
      <c r="K8" s="314">
        <v>5</v>
      </c>
      <c r="L8" s="307">
        <f t="shared" si="3"/>
        <v>11.389999435240966</v>
      </c>
      <c r="M8" s="78"/>
      <c r="N8" s="262" t="s">
        <v>210</v>
      </c>
      <c r="O8" s="278">
        <f>(O2*(1-O3)-2*O5)*9.81</f>
        <v>4980.2917499999994</v>
      </c>
      <c r="P8" s="87" t="s">
        <v>182</v>
      </c>
      <c r="Q8" s="78"/>
    </row>
    <row r="9" spans="2:24" x14ac:dyDescent="0.25">
      <c r="B9" s="290" t="s">
        <v>26</v>
      </c>
      <c r="C9" s="595">
        <v>127</v>
      </c>
      <c r="D9" s="291">
        <v>175</v>
      </c>
      <c r="E9" s="291" t="s">
        <v>211</v>
      </c>
      <c r="F9" s="291">
        <v>1</v>
      </c>
      <c r="G9" s="292">
        <v>0.8</v>
      </c>
      <c r="H9" s="293">
        <f t="shared" si="0"/>
        <v>112.00000000000003</v>
      </c>
      <c r="I9" s="294">
        <f t="shared" si="1"/>
        <v>14.621279464285715</v>
      </c>
      <c r="J9" s="312">
        <f t="shared" si="2"/>
        <v>15.59727946428572</v>
      </c>
      <c r="K9" s="312">
        <v>5</v>
      </c>
      <c r="L9" s="295">
        <f t="shared" si="3"/>
        <v>10.59727946428572</v>
      </c>
      <c r="M9" s="78"/>
      <c r="N9" s="99"/>
      <c r="O9" s="78"/>
      <c r="P9" s="87"/>
      <c r="Q9" s="78"/>
    </row>
    <row r="10" spans="2:24" x14ac:dyDescent="0.25">
      <c r="B10" s="296" t="s">
        <v>26</v>
      </c>
      <c r="C10" s="309">
        <v>127</v>
      </c>
      <c r="D10" s="297">
        <v>184</v>
      </c>
      <c r="E10" s="297" t="s">
        <v>212</v>
      </c>
      <c r="F10" s="297">
        <v>1</v>
      </c>
      <c r="G10" s="298">
        <v>0.8</v>
      </c>
      <c r="H10" s="299">
        <f t="shared" si="0"/>
        <v>117.76000000000002</v>
      </c>
      <c r="I10" s="300">
        <f t="shared" si="1"/>
        <v>13.906108186141307</v>
      </c>
      <c r="J10" s="313">
        <f t="shared" si="2"/>
        <v>14.882108186141309</v>
      </c>
      <c r="K10" s="313">
        <v>5</v>
      </c>
      <c r="L10" s="301">
        <f t="shared" si="3"/>
        <v>9.8821081861413091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/>
      <c r="C11" s="309">
        <v>120</v>
      </c>
      <c r="D11" s="297">
        <v>180</v>
      </c>
      <c r="E11" s="297" t="s">
        <v>215</v>
      </c>
      <c r="F11" s="297"/>
      <c r="G11" s="298">
        <v>0.8</v>
      </c>
      <c r="H11" s="299">
        <f t="shared" si="0"/>
        <v>115.20000000000002</v>
      </c>
      <c r="I11" s="300">
        <f t="shared" si="1"/>
        <v>14.215132812500002</v>
      </c>
      <c r="J11" s="313">
        <f t="shared" si="2"/>
        <v>22.191132812500001</v>
      </c>
      <c r="K11" s="313"/>
      <c r="L11" s="301"/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692" t="s">
        <v>26</v>
      </c>
      <c r="C12" s="735">
        <v>127</v>
      </c>
      <c r="D12" s="694">
        <v>193</v>
      </c>
      <c r="E12" s="694" t="s">
        <v>217</v>
      </c>
      <c r="F12" s="694">
        <v>1</v>
      </c>
      <c r="G12" s="695">
        <v>0.8</v>
      </c>
      <c r="H12" s="696">
        <f t="shared" si="0"/>
        <v>123.52000000000002</v>
      </c>
      <c r="I12" s="697">
        <f>($O$7/G12/2)/D12</f>
        <v>13.257636819948187</v>
      </c>
      <c r="J12" s="698">
        <f>$O$10-(C12-I12)</f>
        <v>14.233636819948188</v>
      </c>
      <c r="K12" s="698">
        <v>5</v>
      </c>
      <c r="L12" s="699">
        <f t="shared" si="3"/>
        <v>9.2336368199481882</v>
      </c>
      <c r="M12" s="493"/>
      <c r="N12" s="78"/>
      <c r="O12" s="78"/>
      <c r="P12" s="78"/>
      <c r="Q12" s="78"/>
    </row>
    <row r="13" spans="2:24" x14ac:dyDescent="0.25">
      <c r="B13" s="272" t="s">
        <v>26</v>
      </c>
      <c r="C13" s="308">
        <v>127</v>
      </c>
      <c r="D13" s="273">
        <v>210</v>
      </c>
      <c r="E13" s="273" t="s">
        <v>218</v>
      </c>
      <c r="F13" s="273">
        <v>2</v>
      </c>
      <c r="G13" s="274">
        <v>0.8</v>
      </c>
      <c r="H13" s="275">
        <f t="shared" si="0"/>
        <v>134.40000000000003</v>
      </c>
      <c r="I13" s="276">
        <f t="shared" si="1"/>
        <v>12.18439955357143</v>
      </c>
      <c r="J13" s="311">
        <f t="shared" si="2"/>
        <v>13.160399553571423</v>
      </c>
      <c r="K13" s="311">
        <v>5</v>
      </c>
      <c r="L13" s="277">
        <f t="shared" si="3"/>
        <v>8.1603995535714233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245</v>
      </c>
      <c r="E14" s="273" t="s">
        <v>220</v>
      </c>
      <c r="F14" s="273">
        <v>2</v>
      </c>
      <c r="G14" s="274">
        <v>0.8</v>
      </c>
      <c r="H14" s="275">
        <f t="shared" si="0"/>
        <v>156.80000000000004</v>
      </c>
      <c r="I14" s="276">
        <f t="shared" si="1"/>
        <v>10.443771045918368</v>
      </c>
      <c r="J14" s="311">
        <f t="shared" si="2"/>
        <v>11.419771045918367</v>
      </c>
      <c r="K14" s="311">
        <v>5</v>
      </c>
      <c r="L14" s="277">
        <f t="shared" si="3"/>
        <v>6.4197710459183668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306</v>
      </c>
      <c r="E15" s="273" t="s">
        <v>222</v>
      </c>
      <c r="F15" s="273">
        <v>2</v>
      </c>
      <c r="G15" s="274">
        <v>0.8</v>
      </c>
      <c r="H15" s="275">
        <f t="shared" si="0"/>
        <v>195.84000000000003</v>
      </c>
      <c r="I15" s="276">
        <f t="shared" si="1"/>
        <v>8.3618428308823542</v>
      </c>
      <c r="J15" s="311">
        <f t="shared" si="2"/>
        <v>9.3378428308823516</v>
      </c>
      <c r="K15" s="311">
        <v>5</v>
      </c>
      <c r="L15" s="277">
        <f t="shared" si="3"/>
        <v>4.3378428308823516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350</v>
      </c>
      <c r="E16" s="273" t="s">
        <v>223</v>
      </c>
      <c r="F16" s="273">
        <v>2</v>
      </c>
      <c r="G16" s="274">
        <v>0.8</v>
      </c>
      <c r="H16" s="275">
        <f t="shared" si="0"/>
        <v>224.00000000000006</v>
      </c>
      <c r="I16" s="276">
        <f t="shared" si="1"/>
        <v>7.3106397321428576</v>
      </c>
      <c r="J16" s="311">
        <f t="shared" si="2"/>
        <v>8.2866397321428593</v>
      </c>
      <c r="K16" s="311">
        <v>3</v>
      </c>
      <c r="L16" s="277">
        <f t="shared" si="3"/>
        <v>5.2866397321428593</v>
      </c>
      <c r="M16" s="78"/>
      <c r="N16" s="86" t="s">
        <v>224</v>
      </c>
      <c r="O16" s="69"/>
      <c r="P16" s="70"/>
      <c r="Q16" s="78"/>
    </row>
    <row r="17" spans="2:17" x14ac:dyDescent="0.25">
      <c r="B17" s="272"/>
      <c r="C17" s="273"/>
      <c r="D17" s="273"/>
      <c r="E17" s="273"/>
      <c r="F17" s="273"/>
      <c r="G17" s="274"/>
      <c r="H17" s="274"/>
      <c r="I17" s="274"/>
      <c r="J17" s="315"/>
      <c r="K17" s="315"/>
      <c r="L17" s="281"/>
      <c r="M17" s="78"/>
      <c r="N17" s="99" t="s">
        <v>225</v>
      </c>
      <c r="O17" s="78"/>
      <c r="P17" s="87"/>
      <c r="Q17" s="78"/>
    </row>
    <row r="18" spans="2:17" x14ac:dyDescent="0.25">
      <c r="B18" s="272" t="s">
        <v>27</v>
      </c>
      <c r="C18" s="282">
        <v>152</v>
      </c>
      <c r="D18" s="273">
        <v>114</v>
      </c>
      <c r="E18" s="273" t="s">
        <v>226</v>
      </c>
      <c r="F18" s="273">
        <v>1</v>
      </c>
      <c r="G18" s="274">
        <v>0.8</v>
      </c>
      <c r="H18" s="275">
        <f>D18*G18^2</f>
        <v>72.960000000000008</v>
      </c>
      <c r="I18" s="276">
        <f>($O$8/G18/2)/D18</f>
        <v>27.304231085526311</v>
      </c>
      <c r="J18" s="311">
        <f>$O$11-(C18-I18)</f>
        <v>22.167231085526311</v>
      </c>
      <c r="K18" s="311">
        <v>5</v>
      </c>
      <c r="L18" s="277">
        <f>J18-K18</f>
        <v>17.167231085526311</v>
      </c>
      <c r="M18" s="78"/>
      <c r="N18" s="99"/>
      <c r="O18" s="78"/>
      <c r="P18" s="87"/>
      <c r="Q18" s="78"/>
    </row>
    <row r="19" spans="2:17" x14ac:dyDescent="0.25">
      <c r="B19" s="302" t="s">
        <v>27</v>
      </c>
      <c r="C19" s="282">
        <v>152</v>
      </c>
      <c r="D19" s="303">
        <v>123</v>
      </c>
      <c r="E19" s="303" t="s">
        <v>227</v>
      </c>
      <c r="F19" s="273">
        <v>1</v>
      </c>
      <c r="G19" s="304">
        <v>0.8</v>
      </c>
      <c r="H19" s="305">
        <f t="shared" ref="H19:H30" si="4">D19*G19^2</f>
        <v>78.720000000000013</v>
      </c>
      <c r="I19" s="306">
        <f t="shared" ref="I19:I30" si="5">($O$8/G19/2)/D19</f>
        <v>25.306360518292678</v>
      </c>
      <c r="J19" s="314">
        <f t="shared" ref="J19:J30" si="6">$O$11-(C19-I19)</f>
        <v>20.169360518292677</v>
      </c>
      <c r="K19" s="314">
        <v>5</v>
      </c>
      <c r="L19" s="307">
        <f t="shared" ref="L19:L30" si="7">J19-K19</f>
        <v>15.169360518292677</v>
      </c>
      <c r="M19" s="78"/>
      <c r="N19" s="99"/>
      <c r="O19" s="78"/>
      <c r="P19" s="87"/>
      <c r="Q19" s="78"/>
    </row>
    <row r="20" spans="2:17" ht="15.75" thickBot="1" x14ac:dyDescent="0.3">
      <c r="B20" s="272" t="s">
        <v>27</v>
      </c>
      <c r="C20" s="282">
        <v>152</v>
      </c>
      <c r="D20" s="273">
        <v>131</v>
      </c>
      <c r="E20" s="273" t="s">
        <v>228</v>
      </c>
      <c r="F20" s="273">
        <v>1</v>
      </c>
      <c r="G20" s="274">
        <v>0.8</v>
      </c>
      <c r="H20" s="275">
        <f t="shared" si="4"/>
        <v>83.840000000000018</v>
      </c>
      <c r="I20" s="276">
        <f t="shared" si="5"/>
        <v>23.760933921755719</v>
      </c>
      <c r="J20" s="311">
        <f t="shared" si="6"/>
        <v>18.623933921755707</v>
      </c>
      <c r="K20" s="311">
        <v>5</v>
      </c>
      <c r="L20" s="277">
        <f t="shared" si="7"/>
        <v>13.623933921755707</v>
      </c>
      <c r="M20" s="78"/>
      <c r="N20" s="100"/>
      <c r="O20" s="88"/>
      <c r="P20" s="142"/>
      <c r="Q20" s="78"/>
    </row>
    <row r="21" spans="2:17" x14ac:dyDescent="0.25">
      <c r="B21" s="290" t="s">
        <v>27</v>
      </c>
      <c r="C21" s="282">
        <v>152</v>
      </c>
      <c r="D21" s="291">
        <v>140</v>
      </c>
      <c r="E21" s="291" t="s">
        <v>229</v>
      </c>
      <c r="F21" s="291">
        <v>1</v>
      </c>
      <c r="G21" s="292">
        <v>0.8</v>
      </c>
      <c r="H21" s="293">
        <f t="shared" si="4"/>
        <v>89.600000000000023</v>
      </c>
      <c r="I21" s="294">
        <f t="shared" si="5"/>
        <v>22.233445312499995</v>
      </c>
      <c r="J21" s="312">
        <f t="shared" si="6"/>
        <v>17.096445312500009</v>
      </c>
      <c r="K21" s="312">
        <v>5</v>
      </c>
      <c r="L21" s="295">
        <f t="shared" si="7"/>
        <v>12.096445312500009</v>
      </c>
      <c r="M21" s="78"/>
      <c r="N21" s="78"/>
      <c r="O21" s="78"/>
      <c r="P21" s="78"/>
      <c r="Q21" s="78"/>
    </row>
    <row r="22" spans="2:17" x14ac:dyDescent="0.25">
      <c r="B22" s="272" t="s">
        <v>27</v>
      </c>
      <c r="C22" s="282">
        <v>152</v>
      </c>
      <c r="D22" s="273">
        <v>149</v>
      </c>
      <c r="E22" s="273" t="s">
        <v>230</v>
      </c>
      <c r="F22" s="273">
        <v>1</v>
      </c>
      <c r="G22" s="274">
        <v>0.8</v>
      </c>
      <c r="H22" s="275">
        <f t="shared" si="4"/>
        <v>95.360000000000014</v>
      </c>
      <c r="I22" s="276">
        <f t="shared" si="5"/>
        <v>20.890485528523485</v>
      </c>
      <c r="J22" s="311">
        <f t="shared" si="6"/>
        <v>15.75348552852347</v>
      </c>
      <c r="K22" s="311">
        <v>5</v>
      </c>
      <c r="L22" s="277">
        <f t="shared" si="7"/>
        <v>10.75348552852347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158</v>
      </c>
      <c r="E23" s="273" t="s">
        <v>231</v>
      </c>
      <c r="F23" s="273">
        <v>1</v>
      </c>
      <c r="G23" s="274">
        <v>0.8</v>
      </c>
      <c r="H23" s="275">
        <f t="shared" si="4"/>
        <v>101.12000000000002</v>
      </c>
      <c r="I23" s="276">
        <f t="shared" si="5"/>
        <v>19.700521162974677</v>
      </c>
      <c r="J23" s="311">
        <f t="shared" si="6"/>
        <v>14.563521162974666</v>
      </c>
      <c r="K23" s="311">
        <v>5</v>
      </c>
      <c r="L23" s="277">
        <f t="shared" si="7"/>
        <v>9.5635211629746664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166</v>
      </c>
      <c r="E24" s="273" t="s">
        <v>232</v>
      </c>
      <c r="F24" s="273">
        <v>1</v>
      </c>
      <c r="G24" s="274">
        <v>0.8</v>
      </c>
      <c r="H24" s="275">
        <f t="shared" si="4"/>
        <v>106.24000000000002</v>
      </c>
      <c r="I24" s="276">
        <f t="shared" si="5"/>
        <v>18.751098456325298</v>
      </c>
      <c r="J24" s="311">
        <f t="shared" si="6"/>
        <v>13.614098456325308</v>
      </c>
      <c r="K24" s="311">
        <v>5</v>
      </c>
      <c r="L24" s="277">
        <f t="shared" si="7"/>
        <v>8.6140984563253085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175</v>
      </c>
      <c r="E25" s="273" t="s">
        <v>233</v>
      </c>
      <c r="F25" s="273">
        <v>1</v>
      </c>
      <c r="G25" s="274">
        <v>0.8</v>
      </c>
      <c r="H25" s="275">
        <f t="shared" si="4"/>
        <v>112.00000000000003</v>
      </c>
      <c r="I25" s="276">
        <f t="shared" si="5"/>
        <v>17.786756249999996</v>
      </c>
      <c r="J25" s="311">
        <f t="shared" si="6"/>
        <v>12.649756249999996</v>
      </c>
      <c r="K25" s="311">
        <v>5</v>
      </c>
      <c r="L25" s="277">
        <f t="shared" si="7"/>
        <v>7.6497562499999958</v>
      </c>
      <c r="M25" s="78"/>
      <c r="N25" s="78"/>
      <c r="O25" s="78"/>
      <c r="P25" s="78"/>
      <c r="Q25" s="78"/>
    </row>
    <row r="26" spans="2:17" x14ac:dyDescent="0.25">
      <c r="B26" s="692" t="s">
        <v>27</v>
      </c>
      <c r="C26" s="693">
        <v>152</v>
      </c>
      <c r="D26" s="694">
        <v>193</v>
      </c>
      <c r="E26" s="694" t="s">
        <v>234</v>
      </c>
      <c r="F26" s="694">
        <v>1</v>
      </c>
      <c r="G26" s="695">
        <v>0.8</v>
      </c>
      <c r="H26" s="696">
        <f t="shared" si="4"/>
        <v>123.52000000000002</v>
      </c>
      <c r="I26" s="697">
        <f t="shared" si="5"/>
        <v>16.127887791450775</v>
      </c>
      <c r="J26" s="698">
        <f t="shared" si="6"/>
        <v>10.990887791450774</v>
      </c>
      <c r="K26" s="698">
        <v>5</v>
      </c>
      <c r="L26" s="699">
        <f t="shared" si="7"/>
        <v>5.9908877914507741</v>
      </c>
      <c r="M26" s="78"/>
      <c r="N26" s="78"/>
      <c r="O26" s="78"/>
      <c r="P26" s="78"/>
      <c r="Q26" s="78"/>
    </row>
    <row r="27" spans="2:17" x14ac:dyDescent="0.25">
      <c r="B27" s="272" t="s">
        <v>27</v>
      </c>
      <c r="C27" s="282">
        <v>152</v>
      </c>
      <c r="D27" s="273">
        <v>210</v>
      </c>
      <c r="E27" s="273" t="s">
        <v>235</v>
      </c>
      <c r="F27" s="273">
        <v>2</v>
      </c>
      <c r="G27" s="274">
        <v>0.8</v>
      </c>
      <c r="H27" s="275">
        <f t="shared" si="4"/>
        <v>134.40000000000003</v>
      </c>
      <c r="I27" s="276">
        <f t="shared" si="5"/>
        <v>14.822296874999997</v>
      </c>
      <c r="J27" s="311">
        <f t="shared" si="6"/>
        <v>9.6852968750000059</v>
      </c>
      <c r="K27" s="311">
        <v>5</v>
      </c>
      <c r="L27" s="277">
        <f t="shared" si="7"/>
        <v>4.6852968750000059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245</v>
      </c>
      <c r="E28" s="273" t="s">
        <v>236</v>
      </c>
      <c r="F28" s="273">
        <v>2</v>
      </c>
      <c r="G28" s="274">
        <v>0.8</v>
      </c>
      <c r="H28" s="275">
        <f t="shared" si="4"/>
        <v>156.80000000000004</v>
      </c>
      <c r="I28" s="276">
        <f t="shared" si="5"/>
        <v>12.704825892857141</v>
      </c>
      <c r="J28" s="311">
        <f t="shared" si="6"/>
        <v>7.5678258928571438</v>
      </c>
      <c r="K28" s="311">
        <v>0</v>
      </c>
      <c r="L28" s="277">
        <f t="shared" si="7"/>
        <v>7.5678258928571438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280</v>
      </c>
      <c r="E29" s="273" t="s">
        <v>237</v>
      </c>
      <c r="F29" s="273">
        <v>2</v>
      </c>
      <c r="G29" s="274">
        <v>0.8</v>
      </c>
      <c r="H29" s="275">
        <f t="shared" si="4"/>
        <v>179.20000000000005</v>
      </c>
      <c r="I29" s="276">
        <f t="shared" si="5"/>
        <v>11.116722656249998</v>
      </c>
      <c r="J29" s="311">
        <f t="shared" si="6"/>
        <v>5.9797226562500043</v>
      </c>
      <c r="K29" s="311">
        <v>0</v>
      </c>
      <c r="L29" s="277">
        <f t="shared" si="7"/>
        <v>5.9797226562500043</v>
      </c>
      <c r="M29" s="78"/>
      <c r="N29" s="78"/>
      <c r="O29" s="78"/>
      <c r="P29" s="78"/>
      <c r="Q29" s="78"/>
    </row>
    <row r="30" spans="2:17" ht="15.75" thickBot="1" x14ac:dyDescent="0.3">
      <c r="B30" s="283" t="s">
        <v>27</v>
      </c>
      <c r="C30" s="284">
        <v>152</v>
      </c>
      <c r="D30" s="285">
        <v>315</v>
      </c>
      <c r="E30" s="285" t="s">
        <v>238</v>
      </c>
      <c r="F30" s="285">
        <v>2</v>
      </c>
      <c r="G30" s="286">
        <v>0.8</v>
      </c>
      <c r="H30" s="287">
        <f t="shared" si="4"/>
        <v>201.60000000000005</v>
      </c>
      <c r="I30" s="288">
        <f t="shared" si="5"/>
        <v>9.8815312499999983</v>
      </c>
      <c r="J30" s="316">
        <f t="shared" si="6"/>
        <v>4.7445312499999943</v>
      </c>
      <c r="K30" s="316">
        <v>0</v>
      </c>
      <c r="L30" s="289">
        <f t="shared" si="7"/>
        <v>4.7445312499999943</v>
      </c>
      <c r="M30" s="78"/>
      <c r="N30" s="78"/>
      <c r="O30" s="78"/>
      <c r="P30" s="78"/>
      <c r="Q30" s="78"/>
    </row>
  </sheetData>
  <conditionalFormatting sqref="F18:F30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7">
    <cfRule type="colorScale" priority="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000" t="s">
        <v>245</v>
      </c>
      <c r="W2" s="1000"/>
      <c r="X2" s="1000"/>
      <c r="Y2" s="1000"/>
      <c r="Z2" s="1000"/>
      <c r="AA2" s="1000"/>
      <c r="AB2" s="1000"/>
      <c r="AC2" s="1000"/>
      <c r="AD2" s="1000"/>
      <c r="AE2" s="1000"/>
      <c r="AF2" s="1000"/>
      <c r="AG2" s="1000"/>
    </row>
    <row r="3" spans="2:33" x14ac:dyDescent="0.25">
      <c r="B3" t="s">
        <v>54</v>
      </c>
    </row>
    <row r="4" spans="2:33" x14ac:dyDescent="0.25">
      <c r="V4" s="322" t="s">
        <v>243</v>
      </c>
      <c r="W4" s="1001" t="s">
        <v>246</v>
      </c>
      <c r="X4" s="1001"/>
      <c r="Y4" s="1001"/>
      <c r="Z4" s="1001"/>
      <c r="AA4" s="1001"/>
      <c r="AB4" s="1001"/>
      <c r="AC4" s="1001"/>
      <c r="AD4" s="1001"/>
      <c r="AE4" s="1001"/>
      <c r="AF4" s="1001"/>
      <c r="AG4" s="1002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997" t="s">
        <v>239</v>
      </c>
      <c r="D6" s="998"/>
      <c r="E6" s="998"/>
      <c r="F6" s="998"/>
      <c r="G6" s="998"/>
      <c r="H6" s="999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001" t="s">
        <v>246</v>
      </c>
      <c r="X18" s="1001"/>
      <c r="Y18" s="1001"/>
      <c r="Z18" s="1001"/>
      <c r="AA18" s="1001"/>
      <c r="AB18" s="1001"/>
      <c r="AC18" s="1001"/>
      <c r="AD18" s="1001"/>
      <c r="AE18" s="1001"/>
      <c r="AF18" s="1001"/>
      <c r="AG18" s="1002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="140" zoomScaleNormal="140" workbookViewId="0">
      <selection activeCell="C11" sqref="C11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476</v>
      </c>
    </row>
    <row r="2" spans="1:9" x14ac:dyDescent="0.25">
      <c r="B2" s="635" t="s">
        <v>53</v>
      </c>
      <c r="C2" s="636"/>
    </row>
    <row r="4" spans="1:9" x14ac:dyDescent="0.25">
      <c r="B4" s="593"/>
      <c r="C4" s="80" t="s">
        <v>469</v>
      </c>
      <c r="D4" s="80" t="s">
        <v>470</v>
      </c>
      <c r="E4" s="80" t="s">
        <v>471</v>
      </c>
      <c r="F4" s="80" t="s">
        <v>475</v>
      </c>
      <c r="G4" s="80" t="s">
        <v>472</v>
      </c>
      <c r="H4" s="80" t="s">
        <v>473</v>
      </c>
      <c r="I4" s="626" t="s">
        <v>474</v>
      </c>
    </row>
    <row r="5" spans="1:9" x14ac:dyDescent="0.25">
      <c r="B5" s="94" t="s">
        <v>26</v>
      </c>
      <c r="C5" s="627">
        <v>350.59699999999998</v>
      </c>
      <c r="D5" s="627">
        <v>65.22</v>
      </c>
      <c r="E5" s="627">
        <v>326.89699999999999</v>
      </c>
      <c r="F5" s="628">
        <f>C5-D5</f>
        <v>285.37699999999995</v>
      </c>
      <c r="G5" s="627">
        <v>87.4</v>
      </c>
      <c r="H5" s="628">
        <f>G5-(C5-E5)</f>
        <v>63.700000000000017</v>
      </c>
      <c r="I5" s="629">
        <f>G5-D5</f>
        <v>22.180000000000007</v>
      </c>
    </row>
    <row r="6" spans="1:9" x14ac:dyDescent="0.25">
      <c r="B6" s="94" t="s">
        <v>27</v>
      </c>
      <c r="C6" s="627">
        <v>407.00799999999998</v>
      </c>
      <c r="D6" s="627">
        <v>80.215000000000003</v>
      </c>
      <c r="E6" s="627">
        <v>379.08300000000003</v>
      </c>
      <c r="F6" s="628">
        <f>C6-D6</f>
        <v>326.79300000000001</v>
      </c>
      <c r="G6" s="627">
        <v>96.4</v>
      </c>
      <c r="H6" s="628">
        <f>G6-(C6-E6)</f>
        <v>68.475000000000051</v>
      </c>
      <c r="I6" s="629">
        <f>G6-D6</f>
        <v>16.185000000000002</v>
      </c>
    </row>
    <row r="7" spans="1:9" x14ac:dyDescent="0.25">
      <c r="B7" s="94" t="s">
        <v>89</v>
      </c>
      <c r="C7" s="627">
        <v>697.52</v>
      </c>
      <c r="D7" s="627">
        <v>86.97</v>
      </c>
      <c r="E7" s="627">
        <v>660</v>
      </c>
      <c r="F7" s="628">
        <f>C7-D7</f>
        <v>610.54999999999995</v>
      </c>
      <c r="G7" s="627">
        <f>135+37.5</f>
        <v>172.5</v>
      </c>
      <c r="H7" s="628">
        <f>G7-(C7-E7)</f>
        <v>134.98000000000002</v>
      </c>
      <c r="I7" s="629">
        <f>G7-D7</f>
        <v>85.53</v>
      </c>
    </row>
    <row r="8" spans="1:9" x14ac:dyDescent="0.25">
      <c r="B8" s="95" t="s">
        <v>90</v>
      </c>
      <c r="C8" s="630">
        <v>560.06600000000003</v>
      </c>
      <c r="D8" s="630">
        <v>86.972999999999999</v>
      </c>
      <c r="E8" s="630">
        <v>527.18499999999995</v>
      </c>
      <c r="F8" s="631">
        <f>C8-D8</f>
        <v>473.09300000000002</v>
      </c>
      <c r="G8" s="630">
        <v>232.9</v>
      </c>
      <c r="H8" s="631">
        <f>G8-(C8-E8)</f>
        <v>200.01899999999992</v>
      </c>
      <c r="I8" s="632">
        <f>G8-D8</f>
        <v>145.92700000000002</v>
      </c>
    </row>
    <row r="10" spans="1:9" x14ac:dyDescent="0.25">
      <c r="B10" s="593"/>
      <c r="C10" s="80" t="s">
        <v>480</v>
      </c>
      <c r="D10" s="80" t="s">
        <v>477</v>
      </c>
      <c r="E10" s="80" t="s">
        <v>478</v>
      </c>
      <c r="F10" s="80" t="s">
        <v>481</v>
      </c>
      <c r="G10" s="80" t="s">
        <v>492</v>
      </c>
      <c r="H10" s="80" t="s">
        <v>479</v>
      </c>
      <c r="I10" s="653" t="s">
        <v>499</v>
      </c>
    </row>
    <row r="11" spans="1:9" x14ac:dyDescent="0.25">
      <c r="B11" s="94" t="s">
        <v>26</v>
      </c>
      <c r="C11" s="644">
        <f>E5</f>
        <v>326.89699999999999</v>
      </c>
      <c r="D11" s="627">
        <v>28</v>
      </c>
      <c r="E11" s="627">
        <v>15</v>
      </c>
      <c r="F11" s="633">
        <v>5</v>
      </c>
      <c r="G11" s="646">
        <f>G5-(C5-C11)</f>
        <v>63.700000000000017</v>
      </c>
      <c r="H11" s="650">
        <f>G5-(C5-C11)-D11-E11-F11</f>
        <v>15.700000000000017</v>
      </c>
      <c r="I11" s="651">
        <f>C5-C11</f>
        <v>23.699999999999989</v>
      </c>
    </row>
    <row r="12" spans="1:9" x14ac:dyDescent="0.25">
      <c r="B12" s="94" t="s">
        <v>27</v>
      </c>
      <c r="C12" s="644">
        <f>E6+8</f>
        <v>387.08300000000003</v>
      </c>
      <c r="D12" s="627">
        <v>45</v>
      </c>
      <c r="E12" s="627">
        <v>15</v>
      </c>
      <c r="F12" s="633">
        <v>5</v>
      </c>
      <c r="G12" s="646">
        <f>G6-(C6-C12)</f>
        <v>76.475000000000051</v>
      </c>
      <c r="H12" s="650">
        <f>G6-(C6-C12)-D12-E12-F12</f>
        <v>11.475000000000051</v>
      </c>
      <c r="I12" s="651">
        <f>C6-C12</f>
        <v>19.924999999999955</v>
      </c>
    </row>
    <row r="13" spans="1:9" x14ac:dyDescent="0.25">
      <c r="B13" s="94" t="s">
        <v>89</v>
      </c>
      <c r="C13" s="644">
        <f>E7</f>
        <v>660</v>
      </c>
      <c r="D13" s="627">
        <v>17</v>
      </c>
      <c r="E13" s="627">
        <v>58.7</v>
      </c>
      <c r="F13" s="633">
        <v>0</v>
      </c>
      <c r="G13" s="646">
        <f>G7-(C7-C13)</f>
        <v>134.98000000000002</v>
      </c>
      <c r="H13" s="650">
        <f>G7-(C7-C13)-D13-E13-F13</f>
        <v>59.280000000000015</v>
      </c>
      <c r="I13" s="651">
        <f>C7-C13</f>
        <v>37.519999999999982</v>
      </c>
    </row>
    <row r="14" spans="1:9" x14ac:dyDescent="0.25">
      <c r="B14" s="95" t="s">
        <v>90</v>
      </c>
      <c r="C14" s="645">
        <f>E8+9</f>
        <v>536.18499999999995</v>
      </c>
      <c r="D14" s="630">
        <v>25</v>
      </c>
      <c r="E14" s="630">
        <v>138</v>
      </c>
      <c r="F14" s="634">
        <v>0</v>
      </c>
      <c r="G14" s="647">
        <f>G8-(C8-C14)</f>
        <v>209.01899999999992</v>
      </c>
      <c r="H14" s="652">
        <f>G8-(C8-C14)-D14-E14-F14</f>
        <v>46.01899999999992</v>
      </c>
      <c r="I14" s="654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5"/>
  <sheetViews>
    <sheetView showGridLines="0" zoomScale="85" zoomScaleNormal="85" workbookViewId="0">
      <selection activeCell="N6" sqref="N6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2"/>
      <c r="E2" s="462"/>
      <c r="G2" s="1003" t="s">
        <v>135</v>
      </c>
      <c r="H2" s="1004"/>
      <c r="I2" s="1004"/>
      <c r="J2" s="1004"/>
      <c r="K2" s="1004"/>
      <c r="L2" s="1004"/>
      <c r="M2" s="1004"/>
      <c r="N2" s="1004"/>
      <c r="O2" s="1004"/>
      <c r="P2" s="1004"/>
      <c r="Q2" s="1005"/>
    </row>
    <row r="3" spans="2:19" s="78" customFormat="1" ht="15.75" thickBot="1" x14ac:dyDescent="0.3">
      <c r="B3" s="263">
        <v>0.55000000000000004</v>
      </c>
      <c r="C3" s="264">
        <v>0.53</v>
      </c>
      <c r="D3" s="546"/>
      <c r="E3" s="546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6"/>
      <c r="E4" s="546"/>
      <c r="G4" s="1006" t="s">
        <v>177</v>
      </c>
      <c r="H4" s="1007"/>
      <c r="I4" s="1008"/>
      <c r="J4" s="381"/>
      <c r="K4" s="381"/>
      <c r="L4" s="381"/>
      <c r="M4" s="1006" t="s">
        <v>179</v>
      </c>
      <c r="N4" s="1007"/>
      <c r="O4" s="1007"/>
      <c r="P4" s="1007"/>
      <c r="Q4" s="1008"/>
    </row>
    <row r="5" spans="2:19" x14ac:dyDescent="0.25">
      <c r="B5" s="263">
        <v>0.56999999999999995</v>
      </c>
      <c r="C5" s="264">
        <v>0.55000000000000004</v>
      </c>
      <c r="D5" s="546"/>
      <c r="E5" s="546"/>
      <c r="G5" s="99" t="s">
        <v>532</v>
      </c>
      <c r="H5" s="725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534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6"/>
      <c r="E6" s="546"/>
      <c r="G6" s="99" t="s">
        <v>533</v>
      </c>
      <c r="H6" s="725">
        <f>45/2</f>
        <v>22.5</v>
      </c>
      <c r="I6" s="381" t="s">
        <v>136</v>
      </c>
      <c r="J6" s="381"/>
      <c r="K6" s="381"/>
      <c r="L6" s="381"/>
      <c r="M6" s="82" t="s">
        <v>530</v>
      </c>
      <c r="N6" s="261">
        <v>0.64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6"/>
      <c r="E7" s="546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6"/>
      <c r="E8" s="546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6"/>
      <c r="E9" s="546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24192</v>
      </c>
      <c r="O9" s="176">
        <f>N5*(1-N6)</f>
        <v>13608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6"/>
      <c r="E10" s="546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6"/>
      <c r="E11" s="546"/>
      <c r="G11" s="727" t="s">
        <v>175</v>
      </c>
      <c r="H11" s="728">
        <v>0</v>
      </c>
      <c r="I11" s="728" t="s">
        <v>145</v>
      </c>
      <c r="J11" s="381"/>
      <c r="K11" s="381"/>
      <c r="L11" s="381"/>
      <c r="M11" s="381" t="s">
        <v>146</v>
      </c>
      <c r="N11" s="176">
        <f>N9*N10/2</f>
        <v>4185.2159999999994</v>
      </c>
      <c r="O11" s="176">
        <f>O9*O10/2</f>
        <v>2354.1839999999997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6"/>
      <c r="E12" s="546"/>
      <c r="G12" s="727" t="s">
        <v>176</v>
      </c>
      <c r="H12" s="728">
        <v>0</v>
      </c>
      <c r="I12" s="728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6"/>
      <c r="E13" s="546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25597.651376146783</v>
      </c>
      <c r="O13" s="176">
        <f>O11/O12</f>
        <v>15590.62251655629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16.8</v>
      </c>
      <c r="I14" s="381" t="s">
        <v>67</v>
      </c>
      <c r="J14" s="176">
        <f>PI()*H14^2/4</f>
        <v>221.6707776372958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3" t="s">
        <v>454</v>
      </c>
      <c r="D15" s="72"/>
      <c r="E15" s="381"/>
      <c r="G15" s="99" t="s">
        <v>152</v>
      </c>
      <c r="H15" s="259">
        <f>N17</f>
        <v>102.22704223700794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51195.302752293566</v>
      </c>
      <c r="O15" s="176">
        <f>O13/O14</f>
        <v>31181.24503311258</v>
      </c>
      <c r="P15" s="388"/>
      <c r="Q15" s="87"/>
      <c r="S15" t="s">
        <v>611</v>
      </c>
    </row>
    <row r="16" spans="2:19" ht="15.75" thickBot="1" x14ac:dyDescent="0.3">
      <c r="B16" s="536" t="s">
        <v>431</v>
      </c>
      <c r="C16" s="95" t="s">
        <v>531</v>
      </c>
      <c r="D16" s="97"/>
      <c r="E16" s="381"/>
      <c r="G16" s="99" t="s">
        <v>154</v>
      </c>
      <c r="H16" s="259">
        <f>O17</f>
        <v>82.272414335389399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798">
        <v>1.895E-3</v>
      </c>
      <c r="P16" s="388" t="s">
        <v>183</v>
      </c>
      <c r="Q16" s="87" t="s">
        <v>91</v>
      </c>
      <c r="S16" s="798">
        <v>2.5000000000000001E-3</v>
      </c>
    </row>
    <row r="17" spans="2:19" x14ac:dyDescent="0.25">
      <c r="G17" s="729" t="s">
        <v>156</v>
      </c>
      <c r="H17" s="730">
        <v>0</v>
      </c>
      <c r="I17" s="731" t="s">
        <v>67</v>
      </c>
      <c r="J17" s="381"/>
      <c r="K17" s="381"/>
      <c r="L17" s="381"/>
      <c r="M17" s="381" t="s">
        <v>157</v>
      </c>
      <c r="N17" s="259">
        <f>N15/N16/100000/2</f>
        <v>102.22704223700794</v>
      </c>
      <c r="O17" s="259">
        <f>O15/O16/100000/2</f>
        <v>82.272414335389399</v>
      </c>
      <c r="P17" s="388" t="s">
        <v>153</v>
      </c>
      <c r="Q17" s="146">
        <f>N17/(N17+O17)</f>
        <v>0.55407774167017232</v>
      </c>
      <c r="S17" s="798">
        <v>1.895E-3</v>
      </c>
    </row>
    <row r="18" spans="2:19" x14ac:dyDescent="0.25">
      <c r="B18" s="548" t="s">
        <v>434</v>
      </c>
      <c r="C18" s="549"/>
      <c r="D18" s="549"/>
      <c r="E18" s="550"/>
      <c r="G18" s="732" t="s">
        <v>158</v>
      </c>
      <c r="H18" s="733">
        <v>0</v>
      </c>
      <c r="I18" s="734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7" t="s">
        <v>489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16.8</v>
      </c>
      <c r="P19" s="388" t="s">
        <v>67</v>
      </c>
      <c r="Q19" s="87"/>
    </row>
    <row r="20" spans="2:19" ht="15.75" thickBot="1" x14ac:dyDescent="0.3">
      <c r="B20" s="551" t="s">
        <v>249</v>
      </c>
      <c r="C20" s="552" t="s">
        <v>439</v>
      </c>
      <c r="D20" s="648" t="s">
        <v>491</v>
      </c>
      <c r="E20" s="553" t="s">
        <v>440</v>
      </c>
      <c r="G20" s="100" t="s">
        <v>161</v>
      </c>
      <c r="H20" s="797">
        <f>O16*1000000</f>
        <v>1895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2.2155839999999998E-4</v>
      </c>
      <c r="P20" s="388" t="s">
        <v>183</v>
      </c>
      <c r="Q20" s="87"/>
    </row>
    <row r="21" spans="2:19" ht="15.75" thickBot="1" x14ac:dyDescent="0.3">
      <c r="B21" s="554" t="s">
        <v>435</v>
      </c>
      <c r="C21" s="126">
        <v>1</v>
      </c>
      <c r="D21" s="71" t="s">
        <v>184</v>
      </c>
      <c r="E21" s="563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2264.9259914763898</v>
      </c>
      <c r="O21" s="176">
        <f>O17*O20*100000</f>
        <v>1822.8144484285936</v>
      </c>
      <c r="P21" s="388" t="s">
        <v>182</v>
      </c>
      <c r="Q21" s="87"/>
    </row>
    <row r="22" spans="2:19" ht="15.75" thickBot="1" x14ac:dyDescent="0.3">
      <c r="B22" s="554" t="s">
        <v>437</v>
      </c>
      <c r="C22" s="126">
        <v>0.6</v>
      </c>
      <c r="D22" s="71">
        <v>93.3</v>
      </c>
      <c r="E22" s="563">
        <v>-0.06</v>
      </c>
      <c r="G22" s="1011" t="s">
        <v>178</v>
      </c>
      <c r="H22" s="1012"/>
      <c r="I22" s="1013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4" t="s">
        <v>436</v>
      </c>
      <c r="C23" s="126">
        <v>0.5</v>
      </c>
      <c r="D23" s="71">
        <v>76.3</v>
      </c>
      <c r="E23" s="563">
        <v>-0.12</v>
      </c>
      <c r="G23" s="99"/>
      <c r="H23" s="381"/>
      <c r="I23" s="381"/>
      <c r="J23" s="381"/>
      <c r="K23" s="381"/>
      <c r="L23" s="381"/>
      <c r="M23" s="82" t="s">
        <v>164</v>
      </c>
      <c r="N23" s="1014">
        <f>N21/(N21+O21)</f>
        <v>0.55407774167017232</v>
      </c>
      <c r="O23" s="1014"/>
      <c r="P23" s="726" t="s">
        <v>184</v>
      </c>
      <c r="Q23" s="87"/>
      <c r="S23">
        <v>1282</v>
      </c>
    </row>
    <row r="24" spans="2:19" x14ac:dyDescent="0.25">
      <c r="B24" s="554" t="s">
        <v>438</v>
      </c>
      <c r="C24" s="564">
        <v>0.42</v>
      </c>
      <c r="D24" s="71">
        <v>66.3</v>
      </c>
      <c r="E24" s="563">
        <v>-0.18</v>
      </c>
      <c r="G24" s="99" t="s">
        <v>165</v>
      </c>
      <c r="H24" s="176">
        <f>2*H15*H5+H12*H15*H8+H11*H15*H7+H17*H19</f>
        <v>5111.3521118503968</v>
      </c>
      <c r="I24" s="381" t="s">
        <v>166</v>
      </c>
      <c r="J24" s="381"/>
      <c r="K24" s="381"/>
      <c r="L24" s="381"/>
      <c r="M24" s="82" t="s">
        <v>167</v>
      </c>
      <c r="N24" s="1009">
        <v>3.6</v>
      </c>
      <c r="O24" s="1009"/>
      <c r="P24" s="726" t="s">
        <v>184</v>
      </c>
      <c r="Q24" s="87"/>
      <c r="S24">
        <v>1124</v>
      </c>
    </row>
    <row r="25" spans="2:19" x14ac:dyDescent="0.25">
      <c r="B25" s="554" t="s">
        <v>441</v>
      </c>
      <c r="C25" s="564">
        <v>0.35</v>
      </c>
      <c r="D25" s="71">
        <v>55.3</v>
      </c>
      <c r="E25" s="563">
        <v>-0.24</v>
      </c>
      <c r="G25" s="99" t="s">
        <v>168</v>
      </c>
      <c r="H25" s="176">
        <f>2*H6*H16+H12*H10*H16+H11*H9*H16+H18*H20</f>
        <v>3702.2586450925228</v>
      </c>
      <c r="I25" s="381" t="s">
        <v>166</v>
      </c>
      <c r="J25" s="381"/>
      <c r="K25" s="381"/>
      <c r="L25" s="381"/>
      <c r="M25" s="82" t="s">
        <v>169</v>
      </c>
      <c r="N25" s="1010">
        <f>(N21+O21)/N24</f>
        <v>1135.483455529162</v>
      </c>
      <c r="O25" s="1010"/>
      <c r="P25" s="388" t="s">
        <v>182</v>
      </c>
      <c r="Q25" s="87"/>
      <c r="S25" s="455">
        <f>S24/S23-1</f>
        <v>-0.12324492979719193</v>
      </c>
    </row>
    <row r="26" spans="2:19" x14ac:dyDescent="0.25">
      <c r="B26" s="554" t="s">
        <v>442</v>
      </c>
      <c r="C26" s="564">
        <v>0.28999999999999998</v>
      </c>
      <c r="D26" s="71">
        <v>46.3</v>
      </c>
      <c r="E26" s="563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4"/>
      <c r="C27" s="565"/>
      <c r="E27" s="566"/>
      <c r="G27" s="262" t="s">
        <v>170</v>
      </c>
      <c r="H27" s="257">
        <f>H24/J13</f>
        <v>23.058303698531432</v>
      </c>
      <c r="I27" s="381" t="s">
        <v>67</v>
      </c>
      <c r="J27" s="82" t="s">
        <v>171</v>
      </c>
      <c r="K27" s="257">
        <f>H27-H28</f>
        <v>6.3566947424322819</v>
      </c>
      <c r="L27" s="381"/>
      <c r="M27" s="381"/>
      <c r="N27" s="381">
        <v>1124</v>
      </c>
      <c r="O27" s="381"/>
      <c r="P27" s="381"/>
      <c r="Q27" s="87"/>
      <c r="S27" s="455"/>
    </row>
    <row r="28" spans="2:19" x14ac:dyDescent="0.25">
      <c r="B28" s="567" t="s">
        <v>490</v>
      </c>
      <c r="C28" s="565"/>
      <c r="E28" s="566"/>
      <c r="G28" s="262" t="s">
        <v>172</v>
      </c>
      <c r="H28" s="257">
        <f>H25/J14</f>
        <v>16.70160895609915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51" t="s">
        <v>249</v>
      </c>
      <c r="C29" s="568" t="s">
        <v>439</v>
      </c>
      <c r="D29" s="648" t="s">
        <v>491</v>
      </c>
      <c r="E29" s="569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4" t="s">
        <v>435</v>
      </c>
      <c r="C30" s="126">
        <v>1</v>
      </c>
      <c r="D30" s="71" t="s">
        <v>184</v>
      </c>
      <c r="E30" s="563">
        <v>0</v>
      </c>
      <c r="G30" s="99" t="s">
        <v>173</v>
      </c>
      <c r="H30" s="257">
        <f>(H27+H28)/2</f>
        <v>19.879956327315291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4" t="s">
        <v>437</v>
      </c>
      <c r="C31" s="126">
        <v>0.75</v>
      </c>
      <c r="D31" s="71">
        <v>95.5</v>
      </c>
      <c r="E31" s="563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4" t="s">
        <v>436</v>
      </c>
      <c r="C32" s="126">
        <v>0.63</v>
      </c>
      <c r="D32" s="71">
        <v>81.5</v>
      </c>
      <c r="E32" s="563">
        <v>-0.12</v>
      </c>
      <c r="G32" s="141" t="s">
        <v>174</v>
      </c>
      <c r="H32" s="258">
        <f>N24*H30</f>
        <v>71.567842778335049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4" t="s">
        <v>438</v>
      </c>
      <c r="C33" s="556">
        <v>0.55000000000000004</v>
      </c>
      <c r="D33" s="71">
        <v>70.5</v>
      </c>
      <c r="E33" s="555">
        <v>-0.18</v>
      </c>
    </row>
    <row r="34" spans="2:5" x14ac:dyDescent="0.25">
      <c r="B34" s="554" t="s">
        <v>441</v>
      </c>
      <c r="C34" s="556">
        <v>0.47</v>
      </c>
      <c r="D34" s="71">
        <v>60.5</v>
      </c>
      <c r="E34" s="558">
        <v>-0.24</v>
      </c>
    </row>
    <row r="35" spans="2:5" x14ac:dyDescent="0.25">
      <c r="B35" s="557" t="s">
        <v>442</v>
      </c>
      <c r="C35" s="562">
        <v>0.41</v>
      </c>
      <c r="D35" s="675">
        <v>53.5</v>
      </c>
      <c r="E35" s="559">
        <v>-0.3</v>
      </c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33"/>
  <sheetViews>
    <sheetView showGridLines="0" zoomScaleNormal="100" workbookViewId="0">
      <selection activeCell="C13" sqref="C11:D13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015" t="s">
        <v>109</v>
      </c>
      <c r="C2" s="1016"/>
      <c r="D2" s="1016"/>
      <c r="E2" s="1016"/>
      <c r="F2" s="1016"/>
      <c r="G2" s="1016"/>
      <c r="H2" s="1016"/>
      <c r="I2" s="1016"/>
      <c r="J2" s="1016"/>
      <c r="K2" s="1016"/>
      <c r="L2" s="1016"/>
      <c r="M2" s="1016"/>
      <c r="N2" s="1017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018" t="s">
        <v>115</v>
      </c>
      <c r="AA2" s="1019"/>
      <c r="AC2" s="1020" t="s">
        <v>116</v>
      </c>
      <c r="AD2" s="1021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8" t="s">
        <v>456</v>
      </c>
      <c r="AA3" s="599" t="s">
        <v>110</v>
      </c>
      <c r="AC3" s="598" t="s">
        <v>456</v>
      </c>
      <c r="AD3" s="599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600">
        <f>G12</f>
        <v>5797.2972972972984</v>
      </c>
      <c r="AB6" s="454"/>
      <c r="AC6" s="173">
        <f>K11</f>
        <v>114.41947315460529</v>
      </c>
      <c r="AD6" s="600">
        <f>L12</f>
        <v>5797.6106816584697</v>
      </c>
      <c r="AE6" s="454"/>
      <c r="AG6" s="454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600">
        <f>G13</f>
        <v>6136.3636363636351</v>
      </c>
      <c r="AB8" s="454"/>
      <c r="AC8" s="173">
        <f>K12</f>
        <v>148.01719118091208</v>
      </c>
      <c r="AD8" s="600">
        <f>L13</f>
        <v>6136.3636363636351</v>
      </c>
      <c r="AE8" s="454"/>
      <c r="AG8" s="454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600">
        <f>G14</f>
        <v>6140.350877192981</v>
      </c>
      <c r="AB10" s="454"/>
      <c r="AC10" s="173">
        <f>K13</f>
        <v>180.9099003322259</v>
      </c>
      <c r="AD10" s="600">
        <f>L14</f>
        <v>6370.8333333333321</v>
      </c>
      <c r="AE10" s="454"/>
      <c r="AG10" s="454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600">
        <f>G15</f>
        <v>6301.0204081632673</v>
      </c>
      <c r="AB12" s="454"/>
      <c r="AC12" s="173">
        <f>K14</f>
        <v>212.97437579987354</v>
      </c>
      <c r="AD12" s="600">
        <f>L15</f>
        <v>6455.1994767822116</v>
      </c>
      <c r="AE12" s="454"/>
      <c r="AG12" s="454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600">
        <f>G16</f>
        <v>6584.4481605351157</v>
      </c>
      <c r="AB14" s="454"/>
      <c r="AC14" s="173">
        <f>K15</f>
        <v>247.44515243009619</v>
      </c>
      <c r="AD14" s="600">
        <f>L16</f>
        <v>6553.9513677811547</v>
      </c>
      <c r="AE14" s="454"/>
      <c r="AG14" s="454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600">
        <f>G17</f>
        <v>6612.5000000000009</v>
      </c>
      <c r="AB16" s="454"/>
      <c r="AC16" s="173">
        <f>K16</f>
        <v>283.16332225913618</v>
      </c>
      <c r="AD16" s="600">
        <f>L17</f>
        <v>6521.7391304347821</v>
      </c>
      <c r="AE16" s="454"/>
      <c r="AG16" s="454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601">
        <f>F17</f>
        <v>339.7959867109634</v>
      </c>
      <c r="AA17" s="97">
        <f>$D$4</f>
        <v>7500</v>
      </c>
      <c r="AB17" s="380"/>
      <c r="AC17" s="601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4"/>
      <c r="AB18" s="454"/>
      <c r="AC18" s="454"/>
      <c r="AD18" s="454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/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6" t="s">
        <v>462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460</v>
      </c>
      <c r="AA15" s="617" t="s">
        <v>463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468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7" t="s">
        <v>123</v>
      </c>
      <c r="AB17" s="618">
        <v>-30</v>
      </c>
      <c r="AC17" s="618">
        <v>-1</v>
      </c>
      <c r="AD17" s="618">
        <v>0</v>
      </c>
      <c r="AE17" s="618">
        <v>1</v>
      </c>
      <c r="AF17" s="619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461</v>
      </c>
      <c r="AA18" s="620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600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21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600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21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2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21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600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3">
        <v>10000</v>
      </c>
      <c r="AB22" s="449">
        <f>$AD22+AB$20</f>
        <v>2363.4407850638277</v>
      </c>
      <c r="AC22" s="449">
        <f>$AD22+AC$20</f>
        <v>2147.4960000000001</v>
      </c>
      <c r="AD22" s="624">
        <v>2100</v>
      </c>
      <c r="AE22" s="449">
        <f>$AD22+AE$20</f>
        <v>2147.4960000000001</v>
      </c>
      <c r="AF22" s="625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464</v>
      </c>
      <c r="AH24">
        <v>83</v>
      </c>
      <c r="AI24">
        <v>36</v>
      </c>
      <c r="AJ24">
        <v>83</v>
      </c>
      <c r="AK24" t="s">
        <v>465</v>
      </c>
      <c r="AL24">
        <v>47</v>
      </c>
      <c r="AM24">
        <v>0</v>
      </c>
      <c r="AN24">
        <v>47</v>
      </c>
      <c r="AO24" t="s">
        <v>466</v>
      </c>
      <c r="AP24">
        <v>68</v>
      </c>
      <c r="AQ24">
        <v>21</v>
      </c>
      <c r="AR24">
        <v>68</v>
      </c>
      <c r="AS24" t="s">
        <v>467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70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71">
        <f>$G$9*B64</f>
        <v>-3597.3397823458281</v>
      </c>
    </row>
    <row r="65" spans="2:3" x14ac:dyDescent="0.25">
      <c r="B65" s="71">
        <v>-100</v>
      </c>
      <c r="C65" s="571">
        <v>0</v>
      </c>
    </row>
    <row r="66" spans="2:3" x14ac:dyDescent="0.25">
      <c r="B66" s="71">
        <v>0</v>
      </c>
      <c r="C66" s="571">
        <v>0</v>
      </c>
    </row>
    <row r="67" spans="2:3" x14ac:dyDescent="0.25">
      <c r="B67" s="71">
        <v>100</v>
      </c>
      <c r="C67" s="571">
        <v>0</v>
      </c>
    </row>
    <row r="68" spans="2:3" x14ac:dyDescent="0.25">
      <c r="B68" s="71">
        <v>10000</v>
      </c>
      <c r="C68" s="571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2" t="s">
        <v>457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3" t="s">
        <v>458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zoomScaleNormal="100" workbookViewId="0">
      <selection activeCell="B22" sqref="B22:H22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022" t="s">
        <v>13</v>
      </c>
      <c r="C2" s="1023"/>
      <c r="D2" s="1023"/>
      <c r="E2" s="1023"/>
      <c r="F2" s="1024"/>
      <c r="T2" t="s">
        <v>494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493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A11" t="s">
        <v>450</v>
      </c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451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022" t="s">
        <v>17</v>
      </c>
      <c r="C16" s="1023"/>
      <c r="D16" s="1023"/>
      <c r="E16" s="1023"/>
      <c r="F16" s="1023"/>
      <c r="G16" s="1023"/>
      <c r="H16" s="1024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452</v>
      </c>
    </row>
    <row r="28" spans="1:8" x14ac:dyDescent="0.25">
      <c r="B28" s="84" t="s">
        <v>453</v>
      </c>
    </row>
  </sheetData>
  <mergeCells count="2">
    <mergeCell ref="B2:F2"/>
    <mergeCell ref="B16:H16"/>
  </mergeCells>
  <pageMargins left="0.25" right="0.25" top="0.75" bottom="0.75" header="0.3" footer="0.3"/>
  <pageSetup paperSize="9" scale="87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7"/>
      <c r="C2" s="528" t="s">
        <v>348</v>
      </c>
      <c r="D2" s="529" t="s">
        <v>347</v>
      </c>
      <c r="E2" s="529" t="s">
        <v>321</v>
      </c>
      <c r="F2" s="529" t="s">
        <v>322</v>
      </c>
      <c r="G2" s="529" t="s">
        <v>323</v>
      </c>
      <c r="H2" s="530" t="s">
        <v>336</v>
      </c>
    </row>
    <row r="3" spans="2:8" x14ac:dyDescent="0.25">
      <c r="B3" s="518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9" t="s">
        <v>346</v>
      </c>
    </row>
    <row r="4" spans="2:8" s="78" customFormat="1" x14ac:dyDescent="0.25">
      <c r="B4" s="518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9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20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20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20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20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20" t="s">
        <v>339</v>
      </c>
    </row>
    <row r="10" spans="2:8" x14ac:dyDescent="0.25">
      <c r="B10" s="272" t="s">
        <v>329</v>
      </c>
      <c r="C10" s="544">
        <v>0</v>
      </c>
      <c r="D10" s="374">
        <v>0</v>
      </c>
      <c r="E10" s="273">
        <v>2267</v>
      </c>
      <c r="F10" s="273">
        <v>0</v>
      </c>
      <c r="G10" s="273">
        <v>20</v>
      </c>
      <c r="H10" s="520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20" t="s">
        <v>341</v>
      </c>
    </row>
    <row r="12" spans="2:8" x14ac:dyDescent="0.25">
      <c r="B12" s="272" t="s">
        <v>331</v>
      </c>
      <c r="C12" s="544">
        <v>20</v>
      </c>
      <c r="D12" s="374">
        <v>0</v>
      </c>
      <c r="E12" s="273">
        <v>2995</v>
      </c>
      <c r="F12" s="273">
        <v>0</v>
      </c>
      <c r="G12" s="273">
        <v>20</v>
      </c>
      <c r="H12" s="520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20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20" t="s">
        <v>344</v>
      </c>
    </row>
    <row r="15" spans="2:8" x14ac:dyDescent="0.25">
      <c r="B15" s="521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2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3">
        <f>SUM(D3:D15)</f>
        <v>1100</v>
      </c>
      <c r="E17" s="524" cm="1">
        <f t="array" ref="E17">SUM(D3:D15*E3:E15)/D17</f>
        <v>1701.6145454545454</v>
      </c>
      <c r="F17" s="524" cm="1">
        <f t="array" ref="F17">SUM(D3:D15*F3:F15)/D17</f>
        <v>1.8327272727272728</v>
      </c>
      <c r="G17" s="524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7">
        <f>1-E17/3140</f>
        <v>0.45808453966415752</v>
      </c>
      <c r="F18" s="381"/>
      <c r="G18" s="381"/>
      <c r="H18" s="87"/>
    </row>
    <row r="19" spans="2:8" s="541" customFormat="1" x14ac:dyDescent="0.25">
      <c r="B19" s="538"/>
      <c r="C19" s="539"/>
      <c r="D19" s="540"/>
      <c r="F19" s="542"/>
      <c r="G19" s="542"/>
      <c r="H19" s="543"/>
    </row>
    <row r="20" spans="2:8" x14ac:dyDescent="0.25">
      <c r="B20" s="525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6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7" t="s">
        <v>292</v>
      </c>
      <c r="G23" s="168">
        <v>52.64</v>
      </c>
      <c r="H23" t="s">
        <v>67</v>
      </c>
      <c r="J23" s="517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7" t="s">
        <v>294</v>
      </c>
      <c r="G26" s="371">
        <v>0.81499999999999995</v>
      </c>
      <c r="H26" t="s">
        <v>303</v>
      </c>
      <c r="J26" s="517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7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015" t="s">
        <v>109</v>
      </c>
      <c r="C2" s="1016"/>
      <c r="D2" s="1016"/>
      <c r="E2" s="1016"/>
      <c r="F2" s="1016"/>
      <c r="G2" s="1016"/>
      <c r="H2" s="1016"/>
      <c r="I2" s="1016"/>
      <c r="J2" s="1016"/>
      <c r="K2" s="1016"/>
      <c r="L2" s="1016"/>
      <c r="M2" s="1016"/>
      <c r="N2" s="1017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5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90"/>
      <c r="C2" s="793" t="s">
        <v>505</v>
      </c>
      <c r="D2" s="171"/>
      <c r="E2" s="171"/>
      <c r="F2" s="171"/>
      <c r="G2" s="793" t="s">
        <v>597</v>
      </c>
      <c r="H2" s="171"/>
      <c r="I2" s="171"/>
      <c r="J2" s="794"/>
      <c r="L2" s="795">
        <v>44289</v>
      </c>
    </row>
    <row r="3" spans="2:15" x14ac:dyDescent="0.25">
      <c r="B3" s="672" t="s">
        <v>254</v>
      </c>
      <c r="C3" s="94" t="s">
        <v>538</v>
      </c>
      <c r="D3" s="381" t="s">
        <v>539</v>
      </c>
      <c r="E3" s="381" t="s">
        <v>540</v>
      </c>
      <c r="F3" s="381" t="s">
        <v>541</v>
      </c>
      <c r="G3" s="94" t="s">
        <v>538</v>
      </c>
      <c r="H3" s="381" t="s">
        <v>539</v>
      </c>
      <c r="I3" s="381" t="s">
        <v>540</v>
      </c>
      <c r="J3" s="382" t="s">
        <v>541</v>
      </c>
      <c r="L3" t="s">
        <v>601</v>
      </c>
    </row>
    <row r="4" spans="2:15" x14ac:dyDescent="0.25">
      <c r="B4" s="672">
        <v>1</v>
      </c>
      <c r="C4" s="94">
        <v>0</v>
      </c>
      <c r="D4" s="381">
        <v>0</v>
      </c>
      <c r="E4" s="542">
        <v>0</v>
      </c>
      <c r="F4" s="542">
        <v>0</v>
      </c>
      <c r="G4" s="94">
        <v>-730</v>
      </c>
      <c r="H4" s="542">
        <v>-795</v>
      </c>
      <c r="I4" s="542">
        <v>-1430</v>
      </c>
      <c r="J4" s="792">
        <v>-1300</v>
      </c>
      <c r="L4" t="s">
        <v>602</v>
      </c>
    </row>
    <row r="5" spans="2:15" x14ac:dyDescent="0.25">
      <c r="B5" s="672">
        <v>2</v>
      </c>
      <c r="C5" s="94">
        <v>53</v>
      </c>
      <c r="D5" s="381">
        <v>85</v>
      </c>
      <c r="E5" s="542">
        <v>79</v>
      </c>
      <c r="F5" s="542">
        <v>51.5</v>
      </c>
      <c r="G5" s="94">
        <v>20</v>
      </c>
      <c r="H5" s="542">
        <v>280</v>
      </c>
      <c r="I5" s="542">
        <v>240</v>
      </c>
      <c r="J5" s="792">
        <v>-130</v>
      </c>
      <c r="L5" t="s">
        <v>603</v>
      </c>
    </row>
    <row r="6" spans="2:15" x14ac:dyDescent="0.25">
      <c r="B6" s="672">
        <v>3</v>
      </c>
      <c r="C6" s="94">
        <v>79.5</v>
      </c>
      <c r="D6" s="381">
        <v>119</v>
      </c>
      <c r="E6" s="542">
        <v>116</v>
      </c>
      <c r="F6" s="542">
        <v>79</v>
      </c>
      <c r="G6" s="94">
        <v>200</v>
      </c>
      <c r="H6" s="542">
        <v>760</v>
      </c>
      <c r="I6" s="542">
        <v>1010</v>
      </c>
      <c r="J6" s="792">
        <v>330</v>
      </c>
    </row>
    <row r="7" spans="2:15" x14ac:dyDescent="0.25">
      <c r="B7" s="672">
        <v>4</v>
      </c>
      <c r="C7" s="94">
        <v>107</v>
      </c>
      <c r="D7" s="542">
        <v>153.5</v>
      </c>
      <c r="E7" s="542">
        <v>161</v>
      </c>
      <c r="F7" s="542">
        <v>116</v>
      </c>
      <c r="G7" s="94">
        <v>630</v>
      </c>
      <c r="H7" s="542">
        <v>1295</v>
      </c>
      <c r="I7" s="542">
        <v>2000</v>
      </c>
      <c r="J7" s="792">
        <v>1240</v>
      </c>
      <c r="L7" t="s">
        <v>604</v>
      </c>
      <c r="M7">
        <f>C11+D11+E11+F11</f>
        <v>1158.5</v>
      </c>
      <c r="N7" t="s">
        <v>198</v>
      </c>
      <c r="O7" t="s">
        <v>606</v>
      </c>
    </row>
    <row r="8" spans="2:15" x14ac:dyDescent="0.25">
      <c r="B8" s="672">
        <v>5</v>
      </c>
      <c r="C8" s="94">
        <v>138</v>
      </c>
      <c r="D8" s="542">
        <v>186.5</v>
      </c>
      <c r="E8" s="542">
        <v>199</v>
      </c>
      <c r="F8" s="542">
        <v>156</v>
      </c>
      <c r="G8" s="94">
        <v>1070</v>
      </c>
      <c r="H8" s="542">
        <v>1760</v>
      </c>
      <c r="I8" s="542">
        <v>2870</v>
      </c>
      <c r="J8" s="792">
        <v>2110</v>
      </c>
      <c r="L8" t="s">
        <v>605</v>
      </c>
      <c r="M8" s="455">
        <f>SUM(C11:D11)/SUM(C11:F11)</f>
        <v>0.43763487268018991</v>
      </c>
    </row>
    <row r="9" spans="2:15" x14ac:dyDescent="0.25">
      <c r="B9" s="672">
        <v>6</v>
      </c>
      <c r="C9" s="94">
        <v>164</v>
      </c>
      <c r="D9" s="542">
        <v>214.5</v>
      </c>
      <c r="E9" s="542">
        <v>233.5</v>
      </c>
      <c r="F9" s="542">
        <v>190</v>
      </c>
      <c r="G9" s="94">
        <v>1460</v>
      </c>
      <c r="H9" s="542">
        <v>2160</v>
      </c>
      <c r="I9" s="542">
        <v>3640</v>
      </c>
      <c r="J9" s="792">
        <v>2870</v>
      </c>
    </row>
    <row r="10" spans="2:15" x14ac:dyDescent="0.25">
      <c r="B10" s="672">
        <v>7</v>
      </c>
      <c r="C10" s="94">
        <v>203</v>
      </c>
      <c r="D10" s="542">
        <v>256</v>
      </c>
      <c r="E10" s="542">
        <v>285.5</v>
      </c>
      <c r="F10" s="542">
        <v>242</v>
      </c>
      <c r="G10" s="94">
        <v>2030</v>
      </c>
      <c r="H10" s="542">
        <v>2750</v>
      </c>
      <c r="I10" s="542">
        <v>4800</v>
      </c>
      <c r="J10" s="792">
        <v>4050</v>
      </c>
    </row>
    <row r="11" spans="2:15" x14ac:dyDescent="0.25">
      <c r="B11" s="672">
        <v>8</v>
      </c>
      <c r="C11" s="94">
        <v>228</v>
      </c>
      <c r="D11" s="542">
        <v>279</v>
      </c>
      <c r="E11" s="542">
        <v>347.5</v>
      </c>
      <c r="F11" s="542">
        <v>304</v>
      </c>
      <c r="G11" s="94">
        <v>2400</v>
      </c>
      <c r="H11" s="542">
        <v>3085</v>
      </c>
      <c r="I11" s="542">
        <v>6320</v>
      </c>
      <c r="J11" s="792">
        <v>5480</v>
      </c>
    </row>
    <row r="12" spans="2:15" x14ac:dyDescent="0.25">
      <c r="B12" s="672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2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2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2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4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90"/>
      <c r="C19" s="80" t="s">
        <v>600</v>
      </c>
      <c r="D19" s="172"/>
      <c r="E19" s="172"/>
      <c r="F19" s="172"/>
      <c r="G19" s="80" t="s">
        <v>599</v>
      </c>
      <c r="H19" s="172"/>
      <c r="I19" s="791"/>
    </row>
    <row r="20" spans="2:10" s="380" customFormat="1" x14ac:dyDescent="0.25">
      <c r="B20" s="672"/>
      <c r="C20" s="381" t="s">
        <v>139</v>
      </c>
      <c r="D20" s="381" t="s">
        <v>598</v>
      </c>
      <c r="E20" s="381"/>
      <c r="F20" s="381"/>
      <c r="G20" s="381" t="s">
        <v>139</v>
      </c>
      <c r="H20" s="381" t="s">
        <v>598</v>
      </c>
      <c r="I20" s="792"/>
    </row>
    <row r="21" spans="2:10" x14ac:dyDescent="0.25">
      <c r="B21" s="672" t="s">
        <v>538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9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2" t="s">
        <v>539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2" t="s">
        <v>540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9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4" t="s">
        <v>541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6"/>
      <c r="I24" s="97"/>
    </row>
    <row r="25" spans="2:10" x14ac:dyDescent="0.25">
      <c r="H25" s="542"/>
    </row>
    <row r="26" spans="2:10" x14ac:dyDescent="0.25">
      <c r="H26" s="542"/>
    </row>
    <row r="27" spans="2:10" x14ac:dyDescent="0.25">
      <c r="C27">
        <f>SUM(G11:H11)*0.704</f>
        <v>3861.4399999999996</v>
      </c>
      <c r="H27" s="542"/>
    </row>
    <row r="28" spans="2:10" x14ac:dyDescent="0.25">
      <c r="C28">
        <f>(C11+D11)*9.81</f>
        <v>4973.67</v>
      </c>
      <c r="D28" s="454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4">
        <f>(E11+F11)*9.81</f>
        <v>6391.2150000000001</v>
      </c>
      <c r="D31" s="454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595</v>
      </c>
      <c r="H2" t="s">
        <v>596</v>
      </c>
      <c r="J2" t="s">
        <v>609</v>
      </c>
      <c r="K2" t="s">
        <v>610</v>
      </c>
    </row>
    <row r="3" spans="2:18" x14ac:dyDescent="0.25">
      <c r="B3" s="787" t="s">
        <v>586</v>
      </c>
      <c r="C3" s="788">
        <v>0</v>
      </c>
      <c r="F3" s="788">
        <v>4</v>
      </c>
      <c r="H3" s="788">
        <v>0</v>
      </c>
      <c r="J3" s="788">
        <v>0</v>
      </c>
      <c r="K3" s="788">
        <v>0</v>
      </c>
    </row>
    <row r="4" spans="2:18" x14ac:dyDescent="0.25">
      <c r="B4" s="787" t="s">
        <v>587</v>
      </c>
      <c r="C4" s="788">
        <v>2</v>
      </c>
      <c r="F4" s="788">
        <v>5</v>
      </c>
      <c r="H4" s="788">
        <v>2</v>
      </c>
      <c r="J4" s="788">
        <v>2</v>
      </c>
      <c r="K4" s="788">
        <v>2</v>
      </c>
    </row>
    <row r="5" spans="2:18" s="380" customFormat="1" x14ac:dyDescent="0.25">
      <c r="B5" s="787" t="s">
        <v>594</v>
      </c>
      <c r="C5" s="788">
        <v>10</v>
      </c>
      <c r="F5" s="788">
        <v>20</v>
      </c>
      <c r="H5" s="788">
        <v>20</v>
      </c>
      <c r="J5" s="788">
        <v>10</v>
      </c>
      <c r="K5" s="788">
        <v>10</v>
      </c>
    </row>
    <row r="6" spans="2:18" x14ac:dyDescent="0.25">
      <c r="B6" s="787" t="s">
        <v>589</v>
      </c>
      <c r="C6" s="788">
        <v>1</v>
      </c>
      <c r="F6" s="788">
        <v>1</v>
      </c>
      <c r="H6" s="788">
        <v>1</v>
      </c>
      <c r="J6" s="788">
        <v>1</v>
      </c>
      <c r="K6" s="788">
        <v>1</v>
      </c>
    </row>
    <row r="7" spans="2:18" x14ac:dyDescent="0.25">
      <c r="B7" s="787" t="s">
        <v>588</v>
      </c>
      <c r="C7" s="788">
        <v>2</v>
      </c>
      <c r="F7" s="788">
        <v>1</v>
      </c>
      <c r="H7" s="788">
        <v>1</v>
      </c>
      <c r="J7" s="788">
        <v>1.5</v>
      </c>
      <c r="K7" s="788">
        <v>2</v>
      </c>
    </row>
    <row r="8" spans="2:18" s="380" customFormat="1" x14ac:dyDescent="0.25">
      <c r="B8" s="787" t="s">
        <v>608</v>
      </c>
      <c r="C8" s="788">
        <v>4</v>
      </c>
      <c r="F8" s="788"/>
      <c r="H8" s="788"/>
      <c r="J8" s="788">
        <v>3</v>
      </c>
      <c r="K8" s="788">
        <v>4</v>
      </c>
    </row>
    <row r="10" spans="2:18" x14ac:dyDescent="0.25">
      <c r="B10" s="787" t="s">
        <v>590</v>
      </c>
      <c r="C10" s="784" t="s">
        <v>592</v>
      </c>
      <c r="D10" s="785"/>
      <c r="E10" s="785"/>
      <c r="F10" s="785"/>
      <c r="G10" s="785"/>
      <c r="H10" s="785"/>
      <c r="I10" s="785"/>
      <c r="J10" s="785"/>
      <c r="K10" s="785"/>
      <c r="L10" s="785"/>
      <c r="M10" s="785"/>
      <c r="N10" s="785"/>
      <c r="O10" s="785"/>
      <c r="P10" s="785"/>
      <c r="Q10" s="785"/>
      <c r="R10" s="785"/>
    </row>
    <row r="11" spans="2:18" x14ac:dyDescent="0.25">
      <c r="B11" s="782" t="s">
        <v>591</v>
      </c>
      <c r="C11" s="785">
        <v>0</v>
      </c>
      <c r="D11" s="785">
        <v>1000</v>
      </c>
      <c r="E11" s="785">
        <v>2000</v>
      </c>
      <c r="F11" s="785">
        <v>3000</v>
      </c>
      <c r="G11" s="785">
        <v>4000</v>
      </c>
      <c r="H11" s="785">
        <v>5000</v>
      </c>
      <c r="I11" s="785">
        <v>6000</v>
      </c>
      <c r="J11" s="785">
        <v>7000</v>
      </c>
      <c r="K11" s="785">
        <v>8000</v>
      </c>
      <c r="L11" s="785">
        <v>9000</v>
      </c>
      <c r="M11" s="785">
        <v>10000</v>
      </c>
      <c r="N11" s="785">
        <v>11000</v>
      </c>
      <c r="O11" s="785">
        <v>12000</v>
      </c>
      <c r="P11" s="785">
        <v>13000</v>
      </c>
      <c r="Q11" s="785">
        <v>14000</v>
      </c>
      <c r="R11" s="785">
        <v>15000</v>
      </c>
    </row>
    <row r="12" spans="2:18" x14ac:dyDescent="0.25">
      <c r="B12" s="783">
        <v>0</v>
      </c>
      <c r="C12" s="786">
        <v>0</v>
      </c>
      <c r="D12" s="786">
        <v>0</v>
      </c>
      <c r="E12" s="786">
        <v>0</v>
      </c>
      <c r="F12" s="786">
        <v>0</v>
      </c>
      <c r="G12" s="786">
        <v>0</v>
      </c>
      <c r="H12" s="786">
        <v>0</v>
      </c>
      <c r="I12" s="786">
        <v>0</v>
      </c>
      <c r="J12" s="786">
        <v>0</v>
      </c>
      <c r="K12" s="786">
        <v>0</v>
      </c>
      <c r="L12" s="786">
        <v>0</v>
      </c>
      <c r="M12" s="786">
        <v>0</v>
      </c>
      <c r="N12" s="786">
        <v>0</v>
      </c>
      <c r="O12" s="786">
        <v>0</v>
      </c>
      <c r="P12" s="786">
        <v>0</v>
      </c>
      <c r="Q12" s="786">
        <v>0</v>
      </c>
      <c r="R12" s="786">
        <v>0</v>
      </c>
    </row>
    <row r="13" spans="2:18" x14ac:dyDescent="0.25">
      <c r="B13" s="783">
        <v>2000</v>
      </c>
      <c r="C13" s="786">
        <v>10</v>
      </c>
      <c r="D13" s="786">
        <v>8.5</v>
      </c>
      <c r="E13" s="786">
        <v>7</v>
      </c>
      <c r="F13" s="786">
        <v>5</v>
      </c>
      <c r="G13" s="786">
        <v>3</v>
      </c>
      <c r="H13" s="786">
        <v>1</v>
      </c>
      <c r="I13" s="786">
        <v>0</v>
      </c>
      <c r="J13" s="786">
        <v>0</v>
      </c>
      <c r="K13" s="786">
        <v>0</v>
      </c>
      <c r="L13" s="786">
        <v>0</v>
      </c>
      <c r="M13" s="786">
        <v>0</v>
      </c>
      <c r="N13" s="786">
        <v>0</v>
      </c>
      <c r="O13" s="786">
        <v>0</v>
      </c>
      <c r="P13" s="786">
        <v>0</v>
      </c>
      <c r="Q13" s="786">
        <v>0</v>
      </c>
      <c r="R13" s="786">
        <v>0</v>
      </c>
    </row>
    <row r="14" spans="2:18" x14ac:dyDescent="0.25">
      <c r="B14" s="783">
        <v>4000</v>
      </c>
      <c r="C14" s="786">
        <v>10</v>
      </c>
      <c r="D14" s="786">
        <v>10</v>
      </c>
      <c r="E14" s="786">
        <v>9.5</v>
      </c>
      <c r="F14" s="786">
        <v>8.5</v>
      </c>
      <c r="G14" s="786">
        <v>7.5</v>
      </c>
      <c r="H14" s="786">
        <v>5.5</v>
      </c>
      <c r="I14" s="786">
        <v>3.5</v>
      </c>
      <c r="J14" s="786">
        <v>2</v>
      </c>
      <c r="K14" s="786">
        <v>1</v>
      </c>
      <c r="L14" s="786">
        <v>0</v>
      </c>
      <c r="M14" s="786">
        <v>0</v>
      </c>
      <c r="N14" s="786">
        <v>0</v>
      </c>
      <c r="O14" s="786">
        <v>0</v>
      </c>
      <c r="P14" s="786">
        <v>0</v>
      </c>
      <c r="Q14" s="786">
        <v>0</v>
      </c>
      <c r="R14" s="786">
        <v>0</v>
      </c>
    </row>
    <row r="15" spans="2:18" x14ac:dyDescent="0.25">
      <c r="B15" s="783">
        <v>6000</v>
      </c>
      <c r="C15" s="786">
        <v>8.5</v>
      </c>
      <c r="D15" s="786">
        <v>8.5</v>
      </c>
      <c r="E15" s="786">
        <v>8.5</v>
      </c>
      <c r="F15" s="786">
        <v>8.5</v>
      </c>
      <c r="G15" s="786">
        <v>8</v>
      </c>
      <c r="H15" s="786">
        <v>7.5</v>
      </c>
      <c r="I15" s="786">
        <v>6.5</v>
      </c>
      <c r="J15" s="786">
        <v>5</v>
      </c>
      <c r="K15" s="786">
        <v>3.5</v>
      </c>
      <c r="L15" s="786">
        <v>2.5</v>
      </c>
      <c r="M15" s="786">
        <v>1.5</v>
      </c>
      <c r="N15" s="786">
        <v>0.5</v>
      </c>
      <c r="O15" s="786">
        <v>0</v>
      </c>
      <c r="P15" s="786">
        <v>0</v>
      </c>
      <c r="Q15" s="786">
        <v>0</v>
      </c>
      <c r="R15" s="786">
        <v>0</v>
      </c>
    </row>
    <row r="16" spans="2:18" x14ac:dyDescent="0.25">
      <c r="B16" s="783">
        <v>8000</v>
      </c>
      <c r="C16" s="786">
        <v>7.5</v>
      </c>
      <c r="D16" s="786">
        <v>7.5</v>
      </c>
      <c r="E16" s="786">
        <v>7.5</v>
      </c>
      <c r="F16" s="786">
        <v>7</v>
      </c>
      <c r="G16" s="786">
        <v>7</v>
      </c>
      <c r="H16" s="786">
        <v>6.5</v>
      </c>
      <c r="I16" s="786">
        <v>6.5</v>
      </c>
      <c r="J16" s="786">
        <v>6</v>
      </c>
      <c r="K16" s="786">
        <v>5.5</v>
      </c>
      <c r="L16" s="786">
        <v>4.5</v>
      </c>
      <c r="M16" s="786">
        <v>3.5</v>
      </c>
      <c r="N16" s="786">
        <v>2.5</v>
      </c>
      <c r="O16" s="786">
        <v>1.5</v>
      </c>
      <c r="P16" s="786">
        <v>0.5</v>
      </c>
      <c r="Q16" s="786">
        <v>0</v>
      </c>
      <c r="R16" s="786">
        <v>0</v>
      </c>
    </row>
    <row r="17" spans="2:23" x14ac:dyDescent="0.25">
      <c r="B17" s="783">
        <v>10000</v>
      </c>
      <c r="C17" s="786">
        <v>6</v>
      </c>
      <c r="D17" s="786">
        <v>6</v>
      </c>
      <c r="E17" s="786">
        <v>6</v>
      </c>
      <c r="F17" s="786">
        <v>6</v>
      </c>
      <c r="G17" s="786">
        <v>6</v>
      </c>
      <c r="H17" s="786">
        <v>5.5</v>
      </c>
      <c r="I17" s="786">
        <v>5.5</v>
      </c>
      <c r="J17" s="786">
        <v>5.5</v>
      </c>
      <c r="K17" s="786">
        <v>5.5</v>
      </c>
      <c r="L17" s="786">
        <v>5</v>
      </c>
      <c r="M17" s="786">
        <v>4.5</v>
      </c>
      <c r="N17" s="786">
        <v>4</v>
      </c>
      <c r="O17" s="786">
        <v>3</v>
      </c>
      <c r="P17" s="786">
        <v>2</v>
      </c>
      <c r="Q17" s="786">
        <v>1.5</v>
      </c>
      <c r="R17" s="786">
        <v>1</v>
      </c>
    </row>
    <row r="19" spans="2:23" x14ac:dyDescent="0.25">
      <c r="B19" s="787" t="s">
        <v>593</v>
      </c>
      <c r="C19" s="784" t="s">
        <v>592</v>
      </c>
      <c r="D19" s="785"/>
      <c r="E19" s="785"/>
      <c r="F19" s="785"/>
      <c r="G19" s="785"/>
      <c r="H19" s="785"/>
      <c r="I19" s="785"/>
      <c r="J19" s="785"/>
      <c r="K19" s="785"/>
      <c r="L19" s="785"/>
      <c r="M19" s="785"/>
      <c r="N19" s="785"/>
      <c r="O19" s="785"/>
      <c r="P19" s="785"/>
      <c r="Q19" s="785"/>
      <c r="R19" s="785"/>
    </row>
    <row r="20" spans="2:23" x14ac:dyDescent="0.25">
      <c r="B20" s="782" t="s">
        <v>591</v>
      </c>
      <c r="C20" s="785">
        <v>0</v>
      </c>
      <c r="D20" s="785">
        <v>1000</v>
      </c>
      <c r="E20" s="785">
        <v>2000</v>
      </c>
      <c r="F20" s="785">
        <v>3000</v>
      </c>
      <c r="G20" s="785">
        <v>4000</v>
      </c>
      <c r="H20" s="785">
        <v>5000</v>
      </c>
      <c r="I20" s="785">
        <v>6000</v>
      </c>
      <c r="J20" s="785">
        <v>7000</v>
      </c>
      <c r="K20" s="785">
        <v>8000</v>
      </c>
      <c r="L20" s="785">
        <v>9000</v>
      </c>
      <c r="M20" s="785">
        <v>10000</v>
      </c>
      <c r="N20" s="785">
        <v>11000</v>
      </c>
      <c r="O20" s="785">
        <v>12000</v>
      </c>
      <c r="P20" s="785">
        <v>13000</v>
      </c>
      <c r="Q20" s="785">
        <v>14000</v>
      </c>
      <c r="R20" s="785">
        <v>15000</v>
      </c>
    </row>
    <row r="21" spans="2:23" x14ac:dyDescent="0.25">
      <c r="B21" s="783">
        <v>0</v>
      </c>
      <c r="C21" s="786">
        <f>MAX(MIN(MAX((C12+$C$3),$C$4)*(1+($B21/($B$26-$B$21)*($C$6-1)))*(1+(C$20/($R$20-$C$20)*($C$7-1))),$C$5),$C$8)</f>
        <v>4</v>
      </c>
      <c r="D21" s="786">
        <f t="shared" ref="D21:R21" si="0">MAX(MIN(MAX((D12+$C$3),$C$4)*(1+($B21/($B$26-$B$21)*($C$6-1)))*(1+(D$20/($R$20-$C$20)*($C$7-1))),$C$5),$C$8)</f>
        <v>4</v>
      </c>
      <c r="E21" s="786">
        <f t="shared" si="0"/>
        <v>4</v>
      </c>
      <c r="F21" s="786">
        <f t="shared" si="0"/>
        <v>4</v>
      </c>
      <c r="G21" s="786">
        <f t="shared" si="0"/>
        <v>4</v>
      </c>
      <c r="H21" s="786">
        <f t="shared" si="0"/>
        <v>4</v>
      </c>
      <c r="I21" s="786">
        <f t="shared" si="0"/>
        <v>4</v>
      </c>
      <c r="J21" s="786">
        <f t="shared" si="0"/>
        <v>4</v>
      </c>
      <c r="K21" s="786">
        <f t="shared" si="0"/>
        <v>4</v>
      </c>
      <c r="L21" s="786">
        <f t="shared" si="0"/>
        <v>4</v>
      </c>
      <c r="M21" s="786">
        <f t="shared" si="0"/>
        <v>4</v>
      </c>
      <c r="N21" s="786">
        <f t="shared" si="0"/>
        <v>4</v>
      </c>
      <c r="O21" s="786">
        <f t="shared" si="0"/>
        <v>4</v>
      </c>
      <c r="P21" s="786">
        <f t="shared" si="0"/>
        <v>4</v>
      </c>
      <c r="Q21" s="786">
        <f t="shared" si="0"/>
        <v>4</v>
      </c>
      <c r="R21" s="786">
        <f t="shared" si="0"/>
        <v>4</v>
      </c>
      <c r="S21" s="789"/>
    </row>
    <row r="22" spans="2:23" x14ac:dyDescent="0.25">
      <c r="B22" s="783">
        <v>2000</v>
      </c>
      <c r="C22" s="786">
        <f t="shared" ref="C22:R26" si="1">MAX(MIN(MAX((C13+$C$3),$C$4)*(1+($B22/($B$26-$B$21)*($C$6-1)))*(1+(C$20/($R$20-$C$20)*($C$7-1))),$C$5),$C$8)</f>
        <v>10</v>
      </c>
      <c r="D22" s="786">
        <f t="shared" si="1"/>
        <v>9.0666666666666664</v>
      </c>
      <c r="E22" s="786">
        <f t="shared" si="1"/>
        <v>7.9333333333333336</v>
      </c>
      <c r="F22" s="786">
        <f t="shared" si="1"/>
        <v>6</v>
      </c>
      <c r="G22" s="786">
        <f t="shared" si="1"/>
        <v>4</v>
      </c>
      <c r="H22" s="786">
        <f t="shared" si="1"/>
        <v>4</v>
      </c>
      <c r="I22" s="786">
        <f t="shared" si="1"/>
        <v>4</v>
      </c>
      <c r="J22" s="786">
        <f t="shared" si="1"/>
        <v>4</v>
      </c>
      <c r="K22" s="786">
        <f t="shared" si="1"/>
        <v>4</v>
      </c>
      <c r="L22" s="786">
        <f t="shared" si="1"/>
        <v>4</v>
      </c>
      <c r="M22" s="786">
        <f t="shared" si="1"/>
        <v>4</v>
      </c>
      <c r="N22" s="786">
        <f t="shared" si="1"/>
        <v>4</v>
      </c>
      <c r="O22" s="786">
        <f t="shared" si="1"/>
        <v>4</v>
      </c>
      <c r="P22" s="786">
        <f t="shared" si="1"/>
        <v>4</v>
      </c>
      <c r="Q22" s="786">
        <f t="shared" si="1"/>
        <v>4</v>
      </c>
      <c r="R22" s="786">
        <f t="shared" si="1"/>
        <v>4</v>
      </c>
      <c r="S22" s="789"/>
      <c r="T22" s="789"/>
      <c r="U22" s="789"/>
      <c r="V22" s="789"/>
      <c r="W22" s="789"/>
    </row>
    <row r="23" spans="2:23" x14ac:dyDescent="0.25">
      <c r="B23" s="783">
        <v>4000</v>
      </c>
      <c r="C23" s="786">
        <f t="shared" si="1"/>
        <v>10</v>
      </c>
      <c r="D23" s="786">
        <f t="shared" si="1"/>
        <v>10</v>
      </c>
      <c r="E23" s="786">
        <f t="shared" si="1"/>
        <v>10</v>
      </c>
      <c r="F23" s="786">
        <f t="shared" si="1"/>
        <v>10</v>
      </c>
      <c r="G23" s="786">
        <f t="shared" si="1"/>
        <v>9.5</v>
      </c>
      <c r="H23" s="786">
        <f t="shared" si="1"/>
        <v>7.333333333333333</v>
      </c>
      <c r="I23" s="786">
        <f t="shared" si="1"/>
        <v>4.8999999999999995</v>
      </c>
      <c r="J23" s="786">
        <f t="shared" si="1"/>
        <v>4</v>
      </c>
      <c r="K23" s="786">
        <f t="shared" si="1"/>
        <v>4</v>
      </c>
      <c r="L23" s="786">
        <f t="shared" si="1"/>
        <v>4</v>
      </c>
      <c r="M23" s="786">
        <f t="shared" si="1"/>
        <v>4</v>
      </c>
      <c r="N23" s="786">
        <f t="shared" si="1"/>
        <v>4</v>
      </c>
      <c r="O23" s="786">
        <f t="shared" si="1"/>
        <v>4</v>
      </c>
      <c r="P23" s="786">
        <f t="shared" si="1"/>
        <v>4</v>
      </c>
      <c r="Q23" s="786">
        <f t="shared" si="1"/>
        <v>4</v>
      </c>
      <c r="R23" s="786">
        <f t="shared" si="1"/>
        <v>4</v>
      </c>
      <c r="S23" s="789"/>
    </row>
    <row r="24" spans="2:23" x14ac:dyDescent="0.25">
      <c r="B24" s="783">
        <v>6000</v>
      </c>
      <c r="C24" s="786">
        <f t="shared" si="1"/>
        <v>8.5</v>
      </c>
      <c r="D24" s="786">
        <f t="shared" si="1"/>
        <v>9.0666666666666664</v>
      </c>
      <c r="E24" s="786">
        <f t="shared" si="1"/>
        <v>9.6333333333333329</v>
      </c>
      <c r="F24" s="786">
        <f t="shared" si="1"/>
        <v>10</v>
      </c>
      <c r="G24" s="786">
        <f t="shared" si="1"/>
        <v>10</v>
      </c>
      <c r="H24" s="786">
        <f t="shared" si="1"/>
        <v>10</v>
      </c>
      <c r="I24" s="786">
        <f t="shared" si="1"/>
        <v>9.1</v>
      </c>
      <c r="J24" s="786">
        <f t="shared" si="1"/>
        <v>7.3333333333333339</v>
      </c>
      <c r="K24" s="786">
        <f t="shared" si="1"/>
        <v>5.3666666666666663</v>
      </c>
      <c r="L24" s="786">
        <f t="shared" si="1"/>
        <v>4</v>
      </c>
      <c r="M24" s="786">
        <f t="shared" si="1"/>
        <v>4</v>
      </c>
      <c r="N24" s="786">
        <f t="shared" si="1"/>
        <v>4</v>
      </c>
      <c r="O24" s="786">
        <f t="shared" si="1"/>
        <v>4</v>
      </c>
      <c r="P24" s="786">
        <f t="shared" si="1"/>
        <v>4</v>
      </c>
      <c r="Q24" s="786">
        <f t="shared" si="1"/>
        <v>4</v>
      </c>
      <c r="R24" s="786">
        <f t="shared" si="1"/>
        <v>4</v>
      </c>
      <c r="S24" s="789"/>
    </row>
    <row r="25" spans="2:23" x14ac:dyDescent="0.25">
      <c r="B25" s="783">
        <v>8000</v>
      </c>
      <c r="C25" s="786">
        <f t="shared" si="1"/>
        <v>7.5</v>
      </c>
      <c r="D25" s="786">
        <f t="shared" si="1"/>
        <v>8</v>
      </c>
      <c r="E25" s="786">
        <f t="shared" si="1"/>
        <v>8.5</v>
      </c>
      <c r="F25" s="786">
        <f t="shared" si="1"/>
        <v>8.4</v>
      </c>
      <c r="G25" s="786">
        <f t="shared" si="1"/>
        <v>8.8666666666666671</v>
      </c>
      <c r="H25" s="786">
        <f t="shared" si="1"/>
        <v>8.6666666666666661</v>
      </c>
      <c r="I25" s="786">
        <f t="shared" si="1"/>
        <v>9.1</v>
      </c>
      <c r="J25" s="786">
        <f t="shared" si="1"/>
        <v>8.8000000000000007</v>
      </c>
      <c r="K25" s="786">
        <f t="shared" si="1"/>
        <v>8.4333333333333336</v>
      </c>
      <c r="L25" s="786">
        <f t="shared" si="1"/>
        <v>7.2</v>
      </c>
      <c r="M25" s="786">
        <f t="shared" si="1"/>
        <v>5.833333333333333</v>
      </c>
      <c r="N25" s="786">
        <f t="shared" si="1"/>
        <v>4.3333333333333339</v>
      </c>
      <c r="O25" s="786">
        <f t="shared" si="1"/>
        <v>4</v>
      </c>
      <c r="P25" s="786">
        <f t="shared" si="1"/>
        <v>4</v>
      </c>
      <c r="Q25" s="786">
        <f t="shared" si="1"/>
        <v>4</v>
      </c>
      <c r="R25" s="786">
        <f t="shared" si="1"/>
        <v>4</v>
      </c>
      <c r="S25" s="789"/>
    </row>
    <row r="26" spans="2:23" x14ac:dyDescent="0.25">
      <c r="B26" s="783">
        <v>10000</v>
      </c>
      <c r="C26" s="786">
        <f t="shared" si="1"/>
        <v>6</v>
      </c>
      <c r="D26" s="786">
        <f t="shared" si="1"/>
        <v>6.4</v>
      </c>
      <c r="E26" s="786">
        <f t="shared" si="1"/>
        <v>6.8</v>
      </c>
      <c r="F26" s="786">
        <f t="shared" si="1"/>
        <v>7.1999999999999993</v>
      </c>
      <c r="G26" s="786">
        <f t="shared" si="1"/>
        <v>7.6</v>
      </c>
      <c r="H26" s="786">
        <f t="shared" si="1"/>
        <v>7.333333333333333</v>
      </c>
      <c r="I26" s="786">
        <f t="shared" si="1"/>
        <v>7.6999999999999993</v>
      </c>
      <c r="J26" s="786">
        <f t="shared" si="1"/>
        <v>8.0666666666666664</v>
      </c>
      <c r="K26" s="786">
        <f t="shared" si="1"/>
        <v>8.4333333333333336</v>
      </c>
      <c r="L26" s="786">
        <f t="shared" si="1"/>
        <v>8</v>
      </c>
      <c r="M26" s="786">
        <f t="shared" si="1"/>
        <v>7.4999999999999991</v>
      </c>
      <c r="N26" s="786">
        <f t="shared" si="1"/>
        <v>6.9333333333333336</v>
      </c>
      <c r="O26" s="786">
        <f t="shared" si="1"/>
        <v>5.4</v>
      </c>
      <c r="P26" s="786">
        <f t="shared" si="1"/>
        <v>4</v>
      </c>
      <c r="Q26" s="786">
        <f t="shared" si="1"/>
        <v>4</v>
      </c>
      <c r="R26" s="786">
        <f t="shared" si="1"/>
        <v>4</v>
      </c>
      <c r="S26" s="789"/>
    </row>
  </sheetData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595</v>
      </c>
      <c r="H2" s="380" t="s">
        <v>596</v>
      </c>
    </row>
    <row r="3" spans="2:18" x14ac:dyDescent="0.25">
      <c r="B3" s="787" t="s">
        <v>586</v>
      </c>
      <c r="C3" s="788">
        <v>0</v>
      </c>
      <c r="F3" s="788">
        <v>4</v>
      </c>
      <c r="H3" s="788">
        <v>0</v>
      </c>
    </row>
    <row r="4" spans="2:18" x14ac:dyDescent="0.25">
      <c r="B4" s="787" t="s">
        <v>587</v>
      </c>
      <c r="C4" s="788">
        <v>2</v>
      </c>
      <c r="F4" s="788">
        <v>5</v>
      </c>
      <c r="H4" s="788">
        <v>2</v>
      </c>
    </row>
    <row r="5" spans="2:18" x14ac:dyDescent="0.25">
      <c r="B5" s="787" t="s">
        <v>594</v>
      </c>
      <c r="C5" s="788">
        <v>20</v>
      </c>
      <c r="F5" s="788">
        <v>20</v>
      </c>
      <c r="H5" s="788">
        <v>20</v>
      </c>
    </row>
    <row r="6" spans="2:18" x14ac:dyDescent="0.25">
      <c r="B6" s="787" t="s">
        <v>589</v>
      </c>
      <c r="C6" s="788">
        <v>1</v>
      </c>
      <c r="F6" s="788">
        <v>1</v>
      </c>
      <c r="H6" s="788">
        <v>1</v>
      </c>
    </row>
    <row r="7" spans="2:18" x14ac:dyDescent="0.25">
      <c r="B7" s="787" t="s">
        <v>588</v>
      </c>
      <c r="C7" s="788">
        <v>1</v>
      </c>
      <c r="F7" s="788">
        <v>1</v>
      </c>
      <c r="H7" s="788">
        <v>1</v>
      </c>
    </row>
    <row r="9" spans="2:18" x14ac:dyDescent="0.25">
      <c r="B9" s="787" t="s">
        <v>590</v>
      </c>
      <c r="C9" s="784" t="s">
        <v>592</v>
      </c>
      <c r="D9" s="785"/>
      <c r="E9" s="785"/>
      <c r="F9" s="785"/>
      <c r="G9" s="785"/>
      <c r="H9" s="785"/>
      <c r="I9" s="785"/>
      <c r="J9" s="785"/>
      <c r="K9" s="785"/>
      <c r="L9" s="785"/>
      <c r="M9" s="785"/>
      <c r="N9" s="785"/>
      <c r="O9" s="785"/>
      <c r="P9" s="785"/>
      <c r="Q9" s="785"/>
      <c r="R9" s="785"/>
    </row>
    <row r="10" spans="2:18" x14ac:dyDescent="0.25">
      <c r="B10" s="782" t="s">
        <v>591</v>
      </c>
      <c r="C10" s="785">
        <v>0</v>
      </c>
      <c r="D10" s="785">
        <v>1000</v>
      </c>
      <c r="E10" s="785">
        <v>2000</v>
      </c>
      <c r="F10" s="785">
        <v>3000</v>
      </c>
      <c r="G10" s="785">
        <v>4000</v>
      </c>
      <c r="H10" s="785">
        <v>5000</v>
      </c>
      <c r="I10" s="785">
        <v>6000</v>
      </c>
      <c r="J10" s="785">
        <v>7000</v>
      </c>
      <c r="K10" s="785">
        <v>8000</v>
      </c>
      <c r="L10" s="785">
        <v>9000</v>
      </c>
      <c r="M10" s="785">
        <v>10000</v>
      </c>
      <c r="N10" s="785">
        <v>11000</v>
      </c>
      <c r="O10" s="785">
        <v>12000</v>
      </c>
      <c r="P10" s="785">
        <v>13000</v>
      </c>
      <c r="Q10" s="785">
        <v>14000</v>
      </c>
      <c r="R10" s="785">
        <v>15000</v>
      </c>
    </row>
    <row r="11" spans="2:18" x14ac:dyDescent="0.25">
      <c r="B11" s="783">
        <v>0</v>
      </c>
      <c r="C11" s="786">
        <v>0</v>
      </c>
      <c r="D11" s="786">
        <v>0</v>
      </c>
      <c r="E11" s="786">
        <v>0</v>
      </c>
      <c r="F11" s="786">
        <v>0</v>
      </c>
      <c r="G11" s="786">
        <v>0</v>
      </c>
      <c r="H11" s="786">
        <v>0</v>
      </c>
      <c r="I11" s="786">
        <v>0</v>
      </c>
      <c r="J11" s="786">
        <v>0</v>
      </c>
      <c r="K11" s="786">
        <v>0</v>
      </c>
      <c r="L11" s="786">
        <v>0</v>
      </c>
      <c r="M11" s="786">
        <v>0</v>
      </c>
      <c r="N11" s="786">
        <v>0</v>
      </c>
      <c r="O11" s="786">
        <v>0</v>
      </c>
      <c r="P11" s="786">
        <v>0</v>
      </c>
      <c r="Q11" s="786">
        <v>0</v>
      </c>
      <c r="R11" s="786">
        <v>0</v>
      </c>
    </row>
    <row r="12" spans="2:18" x14ac:dyDescent="0.25">
      <c r="B12" s="783">
        <v>2000</v>
      </c>
      <c r="C12" s="786">
        <v>10</v>
      </c>
      <c r="D12" s="786">
        <v>8.5</v>
      </c>
      <c r="E12" s="786">
        <v>7</v>
      </c>
      <c r="F12" s="786">
        <v>5</v>
      </c>
      <c r="G12" s="786">
        <v>3</v>
      </c>
      <c r="H12" s="786">
        <v>1</v>
      </c>
      <c r="I12" s="786">
        <v>0</v>
      </c>
      <c r="J12" s="786">
        <v>0</v>
      </c>
      <c r="K12" s="786">
        <v>0</v>
      </c>
      <c r="L12" s="786">
        <v>0</v>
      </c>
      <c r="M12" s="786">
        <v>0</v>
      </c>
      <c r="N12" s="786">
        <v>0</v>
      </c>
      <c r="O12" s="786">
        <v>0</v>
      </c>
      <c r="P12" s="786">
        <v>0</v>
      </c>
      <c r="Q12" s="786">
        <v>0</v>
      </c>
      <c r="R12" s="786">
        <v>0</v>
      </c>
    </row>
    <row r="13" spans="2:18" x14ac:dyDescent="0.25">
      <c r="B13" s="783">
        <v>4000</v>
      </c>
      <c r="C13" s="786">
        <v>10</v>
      </c>
      <c r="D13" s="786">
        <v>10</v>
      </c>
      <c r="E13" s="786">
        <v>9.5</v>
      </c>
      <c r="F13" s="786">
        <v>8.5</v>
      </c>
      <c r="G13" s="786">
        <v>7.5</v>
      </c>
      <c r="H13" s="786">
        <v>5.5</v>
      </c>
      <c r="I13" s="786">
        <v>3.5</v>
      </c>
      <c r="J13" s="786">
        <v>2</v>
      </c>
      <c r="K13" s="786">
        <v>1</v>
      </c>
      <c r="L13" s="786">
        <v>0</v>
      </c>
      <c r="M13" s="786">
        <v>0</v>
      </c>
      <c r="N13" s="786">
        <v>0</v>
      </c>
      <c r="O13" s="786">
        <v>0</v>
      </c>
      <c r="P13" s="786">
        <v>0</v>
      </c>
      <c r="Q13" s="786">
        <v>0</v>
      </c>
      <c r="R13" s="786">
        <v>0</v>
      </c>
    </row>
    <row r="14" spans="2:18" x14ac:dyDescent="0.25">
      <c r="B14" s="783">
        <v>6000</v>
      </c>
      <c r="C14" s="786">
        <v>8.5</v>
      </c>
      <c r="D14" s="786">
        <v>8.5</v>
      </c>
      <c r="E14" s="786">
        <v>8.5</v>
      </c>
      <c r="F14" s="786">
        <v>8.5</v>
      </c>
      <c r="G14" s="786">
        <v>8</v>
      </c>
      <c r="H14" s="786">
        <v>7.5</v>
      </c>
      <c r="I14" s="786">
        <v>6.5</v>
      </c>
      <c r="J14" s="786">
        <v>5</v>
      </c>
      <c r="K14" s="786">
        <v>3.5</v>
      </c>
      <c r="L14" s="786">
        <v>2.5</v>
      </c>
      <c r="M14" s="786">
        <v>1.5</v>
      </c>
      <c r="N14" s="786">
        <v>0.5</v>
      </c>
      <c r="O14" s="786">
        <v>0</v>
      </c>
      <c r="P14" s="786">
        <v>0</v>
      </c>
      <c r="Q14" s="786">
        <v>0</v>
      </c>
      <c r="R14" s="786">
        <v>0</v>
      </c>
    </row>
    <row r="15" spans="2:18" x14ac:dyDescent="0.25">
      <c r="B15" s="783">
        <v>8000</v>
      </c>
      <c r="C15" s="786">
        <v>7.5</v>
      </c>
      <c r="D15" s="786">
        <v>7.5</v>
      </c>
      <c r="E15" s="786">
        <v>7.5</v>
      </c>
      <c r="F15" s="786">
        <v>7</v>
      </c>
      <c r="G15" s="786">
        <v>7</v>
      </c>
      <c r="H15" s="786">
        <v>6.5</v>
      </c>
      <c r="I15" s="786">
        <v>6.5</v>
      </c>
      <c r="J15" s="786">
        <v>6</v>
      </c>
      <c r="K15" s="786">
        <v>5.5</v>
      </c>
      <c r="L15" s="786">
        <v>4.5</v>
      </c>
      <c r="M15" s="786">
        <v>3.5</v>
      </c>
      <c r="N15" s="786">
        <v>2.5</v>
      </c>
      <c r="O15" s="786">
        <v>1.5</v>
      </c>
      <c r="P15" s="786">
        <v>0.5</v>
      </c>
      <c r="Q15" s="786">
        <v>0</v>
      </c>
      <c r="R15" s="786">
        <v>0</v>
      </c>
    </row>
    <row r="16" spans="2:18" x14ac:dyDescent="0.25">
      <c r="B16" s="783">
        <v>10000</v>
      </c>
      <c r="C16" s="786">
        <v>6</v>
      </c>
      <c r="D16" s="786">
        <v>6</v>
      </c>
      <c r="E16" s="786">
        <v>6</v>
      </c>
      <c r="F16" s="786">
        <v>6</v>
      </c>
      <c r="G16" s="786">
        <v>6</v>
      </c>
      <c r="H16" s="786">
        <v>5.5</v>
      </c>
      <c r="I16" s="786">
        <v>5.5</v>
      </c>
      <c r="J16" s="786">
        <v>5.5</v>
      </c>
      <c r="K16" s="786">
        <v>5.5</v>
      </c>
      <c r="L16" s="786">
        <v>5</v>
      </c>
      <c r="M16" s="786">
        <v>4.5</v>
      </c>
      <c r="N16" s="786">
        <v>4</v>
      </c>
      <c r="O16" s="786">
        <v>3</v>
      </c>
      <c r="P16" s="786">
        <v>2</v>
      </c>
      <c r="Q16" s="786">
        <v>1.5</v>
      </c>
      <c r="R16" s="786">
        <v>1</v>
      </c>
    </row>
    <row r="18" spans="2:23" x14ac:dyDescent="0.25">
      <c r="B18" s="787" t="s">
        <v>593</v>
      </c>
      <c r="C18" s="784" t="s">
        <v>592</v>
      </c>
      <c r="D18" s="785"/>
      <c r="E18" s="785"/>
      <c r="F18" s="785"/>
      <c r="G18" s="785"/>
      <c r="H18" s="785"/>
      <c r="I18" s="785"/>
      <c r="J18" s="785"/>
      <c r="K18" s="785"/>
      <c r="L18" s="785"/>
      <c r="M18" s="785"/>
      <c r="N18" s="785"/>
      <c r="O18" s="785"/>
      <c r="P18" s="785"/>
      <c r="Q18" s="785"/>
      <c r="R18" s="785"/>
    </row>
    <row r="19" spans="2:23" x14ac:dyDescent="0.25">
      <c r="B19" s="782" t="s">
        <v>591</v>
      </c>
      <c r="C19" s="785">
        <v>0</v>
      </c>
      <c r="D19" s="785">
        <v>1000</v>
      </c>
      <c r="E19" s="785">
        <v>2000</v>
      </c>
      <c r="F19" s="785">
        <v>3000</v>
      </c>
      <c r="G19" s="785">
        <v>4000</v>
      </c>
      <c r="H19" s="785">
        <v>5000</v>
      </c>
      <c r="I19" s="785">
        <v>6000</v>
      </c>
      <c r="J19" s="785">
        <v>7000</v>
      </c>
      <c r="K19" s="785">
        <v>8000</v>
      </c>
      <c r="L19" s="785">
        <v>9000</v>
      </c>
      <c r="M19" s="785">
        <v>10000</v>
      </c>
      <c r="N19" s="785">
        <v>11000</v>
      </c>
      <c r="O19" s="785">
        <v>12000</v>
      </c>
      <c r="P19" s="785">
        <v>13000</v>
      </c>
      <c r="Q19" s="785">
        <v>14000</v>
      </c>
      <c r="R19" s="785">
        <v>15000</v>
      </c>
    </row>
    <row r="20" spans="2:23" x14ac:dyDescent="0.25">
      <c r="B20" s="783">
        <v>0</v>
      </c>
      <c r="C20" s="786">
        <f>MIN(MAX((C11+$C$3),$C$4)*(1+($B20/($B$25-$B$20)*($C$6-1)))*(1+(C$19/($R$19-$C$19)*($C$7-1))),$C$5)</f>
        <v>2</v>
      </c>
      <c r="D20" s="786">
        <f t="shared" ref="D20:R20" si="0">MIN(MAX((D11+$C$3),$C$4)*(1+($B20/($B$25-$B$20)*($C$6-1)))*(1+(D$19/($R$19-$C$19)*($C$7-1))),$C$5)</f>
        <v>2</v>
      </c>
      <c r="E20" s="786">
        <f t="shared" si="0"/>
        <v>2</v>
      </c>
      <c r="F20" s="786">
        <f t="shared" si="0"/>
        <v>2</v>
      </c>
      <c r="G20" s="786">
        <f t="shared" si="0"/>
        <v>2</v>
      </c>
      <c r="H20" s="786">
        <f t="shared" si="0"/>
        <v>2</v>
      </c>
      <c r="I20" s="786">
        <f t="shared" si="0"/>
        <v>2</v>
      </c>
      <c r="J20" s="786">
        <f t="shared" si="0"/>
        <v>2</v>
      </c>
      <c r="K20" s="786">
        <f t="shared" si="0"/>
        <v>2</v>
      </c>
      <c r="L20" s="786">
        <f t="shared" si="0"/>
        <v>2</v>
      </c>
      <c r="M20" s="786">
        <f t="shared" si="0"/>
        <v>2</v>
      </c>
      <c r="N20" s="786">
        <f t="shared" si="0"/>
        <v>2</v>
      </c>
      <c r="O20" s="786">
        <f t="shared" si="0"/>
        <v>2</v>
      </c>
      <c r="P20" s="786">
        <f t="shared" si="0"/>
        <v>2</v>
      </c>
      <c r="Q20" s="786">
        <f t="shared" si="0"/>
        <v>2</v>
      </c>
      <c r="R20" s="786">
        <f t="shared" si="0"/>
        <v>2</v>
      </c>
      <c r="S20" s="789"/>
    </row>
    <row r="21" spans="2:23" x14ac:dyDescent="0.25">
      <c r="B21" s="783">
        <v>2000</v>
      </c>
      <c r="C21" s="786">
        <f t="shared" ref="C21:R25" si="1">MIN(MAX((C12+$C$3),$C$4)*(1+($B21/($B$25-$B$20)*($C$6-1)))*(1+(C$19/($R$19-$C$19)*($C$7-1))),$C$5)</f>
        <v>10</v>
      </c>
      <c r="D21" s="786">
        <f t="shared" si="1"/>
        <v>8.5</v>
      </c>
      <c r="E21" s="786">
        <f t="shared" si="1"/>
        <v>7</v>
      </c>
      <c r="F21" s="786">
        <f t="shared" si="1"/>
        <v>5</v>
      </c>
      <c r="G21" s="786">
        <f t="shared" si="1"/>
        <v>3</v>
      </c>
      <c r="H21" s="786">
        <f t="shared" si="1"/>
        <v>2</v>
      </c>
      <c r="I21" s="786">
        <f t="shared" si="1"/>
        <v>2</v>
      </c>
      <c r="J21" s="786">
        <f t="shared" si="1"/>
        <v>2</v>
      </c>
      <c r="K21" s="786">
        <f t="shared" si="1"/>
        <v>2</v>
      </c>
      <c r="L21" s="786">
        <f t="shared" si="1"/>
        <v>2</v>
      </c>
      <c r="M21" s="786">
        <f t="shared" si="1"/>
        <v>2</v>
      </c>
      <c r="N21" s="786">
        <f t="shared" si="1"/>
        <v>2</v>
      </c>
      <c r="O21" s="786">
        <f t="shared" si="1"/>
        <v>2</v>
      </c>
      <c r="P21" s="786">
        <f t="shared" si="1"/>
        <v>2</v>
      </c>
      <c r="Q21" s="786">
        <f t="shared" si="1"/>
        <v>2</v>
      </c>
      <c r="R21" s="786">
        <f t="shared" si="1"/>
        <v>2</v>
      </c>
      <c r="S21" s="789"/>
      <c r="T21" s="789"/>
      <c r="U21" s="789"/>
      <c r="V21" s="789"/>
      <c r="W21" s="789"/>
    </row>
    <row r="22" spans="2:23" x14ac:dyDescent="0.25">
      <c r="B22" s="783">
        <v>4000</v>
      </c>
      <c r="C22" s="786">
        <f t="shared" si="1"/>
        <v>10</v>
      </c>
      <c r="D22" s="786">
        <f t="shared" si="1"/>
        <v>10</v>
      </c>
      <c r="E22" s="786">
        <f t="shared" si="1"/>
        <v>9.5</v>
      </c>
      <c r="F22" s="786">
        <f t="shared" si="1"/>
        <v>8.5</v>
      </c>
      <c r="G22" s="786">
        <f t="shared" si="1"/>
        <v>7.5</v>
      </c>
      <c r="H22" s="786">
        <f t="shared" si="1"/>
        <v>5.5</v>
      </c>
      <c r="I22" s="786">
        <f t="shared" si="1"/>
        <v>3.5</v>
      </c>
      <c r="J22" s="786">
        <f t="shared" si="1"/>
        <v>2</v>
      </c>
      <c r="K22" s="786">
        <f t="shared" si="1"/>
        <v>2</v>
      </c>
      <c r="L22" s="796">
        <f t="shared" si="1"/>
        <v>2</v>
      </c>
      <c r="M22" s="786">
        <f t="shared" si="1"/>
        <v>2</v>
      </c>
      <c r="N22" s="786">
        <f t="shared" si="1"/>
        <v>2</v>
      </c>
      <c r="O22" s="786">
        <f t="shared" si="1"/>
        <v>2</v>
      </c>
      <c r="P22" s="786">
        <f t="shared" si="1"/>
        <v>2</v>
      </c>
      <c r="Q22" s="786">
        <f t="shared" si="1"/>
        <v>2</v>
      </c>
      <c r="R22" s="786">
        <f t="shared" si="1"/>
        <v>2</v>
      </c>
      <c r="S22" s="789"/>
    </row>
    <row r="23" spans="2:23" x14ac:dyDescent="0.25">
      <c r="B23" s="783">
        <v>6000</v>
      </c>
      <c r="C23" s="786">
        <f t="shared" si="1"/>
        <v>8.5</v>
      </c>
      <c r="D23" s="786">
        <f t="shared" si="1"/>
        <v>8.5</v>
      </c>
      <c r="E23" s="786">
        <f t="shared" si="1"/>
        <v>8.5</v>
      </c>
      <c r="F23" s="786">
        <f t="shared" si="1"/>
        <v>8.5</v>
      </c>
      <c r="G23" s="786">
        <f t="shared" si="1"/>
        <v>8</v>
      </c>
      <c r="H23" s="786">
        <f t="shared" si="1"/>
        <v>7.5</v>
      </c>
      <c r="I23" s="786">
        <f t="shared" si="1"/>
        <v>6.5</v>
      </c>
      <c r="J23" s="786">
        <f t="shared" si="1"/>
        <v>5</v>
      </c>
      <c r="K23" s="786">
        <f t="shared" si="1"/>
        <v>3.5</v>
      </c>
      <c r="L23" s="796">
        <f t="shared" si="1"/>
        <v>2.5</v>
      </c>
      <c r="M23" s="786">
        <f t="shared" si="1"/>
        <v>2</v>
      </c>
      <c r="N23" s="786">
        <f t="shared" si="1"/>
        <v>2</v>
      </c>
      <c r="O23" s="786">
        <f t="shared" si="1"/>
        <v>2</v>
      </c>
      <c r="P23" s="786">
        <f t="shared" si="1"/>
        <v>2</v>
      </c>
      <c r="Q23" s="786">
        <f t="shared" si="1"/>
        <v>2</v>
      </c>
      <c r="R23" s="786">
        <f t="shared" si="1"/>
        <v>2</v>
      </c>
      <c r="S23" s="789"/>
    </row>
    <row r="24" spans="2:23" x14ac:dyDescent="0.25">
      <c r="B24" s="783">
        <v>8000</v>
      </c>
      <c r="C24" s="786">
        <f t="shared" si="1"/>
        <v>7.5</v>
      </c>
      <c r="D24" s="786">
        <f t="shared" si="1"/>
        <v>7.5</v>
      </c>
      <c r="E24" s="786">
        <f t="shared" si="1"/>
        <v>7.5</v>
      </c>
      <c r="F24" s="786">
        <f t="shared" si="1"/>
        <v>7</v>
      </c>
      <c r="G24" s="786">
        <f t="shared" si="1"/>
        <v>7</v>
      </c>
      <c r="H24" s="786">
        <f t="shared" si="1"/>
        <v>6.5</v>
      </c>
      <c r="I24" s="786">
        <f t="shared" si="1"/>
        <v>6.5</v>
      </c>
      <c r="J24" s="786">
        <f t="shared" si="1"/>
        <v>6</v>
      </c>
      <c r="K24" s="786">
        <f t="shared" si="1"/>
        <v>5.5</v>
      </c>
      <c r="L24" s="786">
        <f t="shared" si="1"/>
        <v>4.5</v>
      </c>
      <c r="M24" s="786">
        <f t="shared" si="1"/>
        <v>3.5</v>
      </c>
      <c r="N24" s="786">
        <f t="shared" si="1"/>
        <v>2.5</v>
      </c>
      <c r="O24" s="786">
        <f t="shared" si="1"/>
        <v>2</v>
      </c>
      <c r="P24" s="786">
        <f t="shared" si="1"/>
        <v>2</v>
      </c>
      <c r="Q24" s="786">
        <f t="shared" si="1"/>
        <v>2</v>
      </c>
      <c r="R24" s="786">
        <f t="shared" si="1"/>
        <v>2</v>
      </c>
      <c r="S24" s="789"/>
    </row>
    <row r="25" spans="2:23" x14ac:dyDescent="0.25">
      <c r="B25" s="783">
        <v>10000</v>
      </c>
      <c r="C25" s="786">
        <f t="shared" si="1"/>
        <v>6</v>
      </c>
      <c r="D25" s="786">
        <f t="shared" si="1"/>
        <v>6</v>
      </c>
      <c r="E25" s="786">
        <f t="shared" si="1"/>
        <v>6</v>
      </c>
      <c r="F25" s="786">
        <f t="shared" si="1"/>
        <v>6</v>
      </c>
      <c r="G25" s="786">
        <f t="shared" si="1"/>
        <v>6</v>
      </c>
      <c r="H25" s="786">
        <f t="shared" si="1"/>
        <v>5.5</v>
      </c>
      <c r="I25" s="786">
        <f t="shared" si="1"/>
        <v>5.5</v>
      </c>
      <c r="J25" s="786">
        <f t="shared" si="1"/>
        <v>5.5</v>
      </c>
      <c r="K25" s="786">
        <f t="shared" si="1"/>
        <v>5.5</v>
      </c>
      <c r="L25" s="786">
        <f t="shared" si="1"/>
        <v>5</v>
      </c>
      <c r="M25" s="786">
        <f t="shared" si="1"/>
        <v>4.5</v>
      </c>
      <c r="N25" s="786">
        <f t="shared" si="1"/>
        <v>4</v>
      </c>
      <c r="O25" s="786">
        <f t="shared" si="1"/>
        <v>3</v>
      </c>
      <c r="P25" s="786">
        <f t="shared" si="1"/>
        <v>2</v>
      </c>
      <c r="Q25" s="786">
        <f t="shared" si="1"/>
        <v>2</v>
      </c>
      <c r="R25" s="786">
        <f t="shared" si="1"/>
        <v>2</v>
      </c>
      <c r="S25" s="789"/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595</v>
      </c>
      <c r="H2" s="380" t="s">
        <v>596</v>
      </c>
    </row>
    <row r="3" spans="2:18" x14ac:dyDescent="0.25">
      <c r="B3" s="787" t="s">
        <v>586</v>
      </c>
      <c r="C3" s="788">
        <v>0</v>
      </c>
      <c r="F3" s="788">
        <v>4</v>
      </c>
      <c r="H3" s="788">
        <v>0</v>
      </c>
    </row>
    <row r="4" spans="2:18" x14ac:dyDescent="0.25">
      <c r="B4" s="787" t="s">
        <v>587</v>
      </c>
      <c r="C4" s="788">
        <v>2</v>
      </c>
      <c r="F4" s="788">
        <v>5</v>
      </c>
      <c r="H4" s="788">
        <v>2</v>
      </c>
    </row>
    <row r="5" spans="2:18" x14ac:dyDescent="0.25">
      <c r="B5" s="787" t="s">
        <v>594</v>
      </c>
      <c r="C5" s="788">
        <v>20</v>
      </c>
      <c r="F5" s="788">
        <v>20</v>
      </c>
      <c r="H5" s="788">
        <v>20</v>
      </c>
    </row>
    <row r="6" spans="2:18" x14ac:dyDescent="0.25">
      <c r="B6" s="787" t="s">
        <v>589</v>
      </c>
      <c r="C6" s="788">
        <v>1</v>
      </c>
      <c r="F6" s="788">
        <v>1</v>
      </c>
      <c r="H6" s="788">
        <v>1</v>
      </c>
    </row>
    <row r="7" spans="2:18" x14ac:dyDescent="0.25">
      <c r="B7" s="787" t="s">
        <v>588</v>
      </c>
      <c r="C7" s="788">
        <v>1</v>
      </c>
      <c r="F7" s="788">
        <v>1</v>
      </c>
      <c r="H7" s="788">
        <v>1</v>
      </c>
    </row>
    <row r="9" spans="2:18" x14ac:dyDescent="0.25">
      <c r="B9" s="787" t="s">
        <v>590</v>
      </c>
      <c r="C9" s="784" t="s">
        <v>592</v>
      </c>
      <c r="D9" s="785"/>
      <c r="E9" s="785"/>
      <c r="F9" s="785"/>
      <c r="G9" s="785"/>
      <c r="H9" s="785"/>
      <c r="I9" s="785"/>
      <c r="J9" s="785"/>
      <c r="K9" s="785"/>
      <c r="L9" s="785"/>
      <c r="M9" s="785"/>
      <c r="N9" s="785"/>
      <c r="O9" s="785"/>
      <c r="P9" s="785"/>
      <c r="Q9" s="785"/>
      <c r="R9" s="785"/>
    </row>
    <row r="10" spans="2:18" x14ac:dyDescent="0.25">
      <c r="B10" s="782" t="s">
        <v>591</v>
      </c>
      <c r="C10" s="785">
        <v>0</v>
      </c>
      <c r="D10" s="785">
        <v>1000</v>
      </c>
      <c r="E10" s="785">
        <v>2000</v>
      </c>
      <c r="F10" s="785">
        <v>3000</v>
      </c>
      <c r="G10" s="785">
        <v>4000</v>
      </c>
      <c r="H10" s="785">
        <v>5000</v>
      </c>
      <c r="I10" s="785">
        <v>6000</v>
      </c>
      <c r="J10" s="785">
        <v>7000</v>
      </c>
      <c r="K10" s="785">
        <v>8000</v>
      </c>
      <c r="L10" s="785">
        <v>9000</v>
      </c>
      <c r="M10" s="785">
        <v>10000</v>
      </c>
      <c r="N10" s="785">
        <v>11000</v>
      </c>
      <c r="O10" s="785">
        <v>12000</v>
      </c>
      <c r="P10" s="785">
        <v>13000</v>
      </c>
      <c r="Q10" s="785">
        <v>14000</v>
      </c>
      <c r="R10" s="785">
        <v>15000</v>
      </c>
    </row>
    <row r="11" spans="2:18" x14ac:dyDescent="0.25">
      <c r="B11" s="783">
        <v>0</v>
      </c>
      <c r="C11" s="786">
        <v>0</v>
      </c>
      <c r="D11" s="786">
        <v>0</v>
      </c>
      <c r="E11" s="786">
        <v>0</v>
      </c>
      <c r="F11" s="786">
        <v>0</v>
      </c>
      <c r="G11" s="786">
        <v>0</v>
      </c>
      <c r="H11" s="786">
        <v>0</v>
      </c>
      <c r="I11" s="786">
        <v>0</v>
      </c>
      <c r="J11" s="786">
        <v>0</v>
      </c>
      <c r="K11" s="786">
        <v>0</v>
      </c>
      <c r="L11" s="786">
        <v>0</v>
      </c>
      <c r="M11" s="786">
        <v>0</v>
      </c>
      <c r="N11" s="786">
        <v>0</v>
      </c>
      <c r="O11" s="786">
        <v>0</v>
      </c>
      <c r="P11" s="786">
        <v>0</v>
      </c>
      <c r="Q11" s="786">
        <v>0</v>
      </c>
      <c r="R11" s="786">
        <v>0</v>
      </c>
    </row>
    <row r="12" spans="2:18" x14ac:dyDescent="0.25">
      <c r="B12" s="783">
        <v>2000</v>
      </c>
      <c r="C12" s="786">
        <v>7</v>
      </c>
      <c r="D12" s="786">
        <v>6</v>
      </c>
      <c r="E12" s="786">
        <v>3.5</v>
      </c>
      <c r="F12" s="786">
        <v>1.5</v>
      </c>
      <c r="G12" s="786">
        <v>0</v>
      </c>
      <c r="H12" s="786">
        <v>0</v>
      </c>
      <c r="I12" s="786">
        <v>0</v>
      </c>
      <c r="J12" s="786">
        <v>0</v>
      </c>
      <c r="K12" s="786">
        <v>0</v>
      </c>
      <c r="L12" s="786">
        <v>0</v>
      </c>
      <c r="M12" s="786">
        <v>0</v>
      </c>
      <c r="N12" s="786">
        <v>0</v>
      </c>
      <c r="O12" s="786">
        <v>0</v>
      </c>
      <c r="P12" s="786">
        <v>0</v>
      </c>
      <c r="Q12" s="786">
        <v>0</v>
      </c>
      <c r="R12" s="786">
        <v>0</v>
      </c>
    </row>
    <row r="13" spans="2:18" x14ac:dyDescent="0.25">
      <c r="B13" s="783">
        <v>4000</v>
      </c>
      <c r="C13" s="786">
        <v>7</v>
      </c>
      <c r="D13" s="786">
        <v>6.5</v>
      </c>
      <c r="E13" s="786">
        <v>6.5</v>
      </c>
      <c r="F13" s="786">
        <v>5</v>
      </c>
      <c r="G13" s="786">
        <v>3</v>
      </c>
      <c r="H13" s="786">
        <v>1</v>
      </c>
      <c r="I13" s="786">
        <v>0</v>
      </c>
      <c r="J13" s="786">
        <v>0</v>
      </c>
      <c r="K13" s="786">
        <v>0</v>
      </c>
      <c r="L13" s="786">
        <v>0</v>
      </c>
      <c r="M13" s="786">
        <v>0</v>
      </c>
      <c r="N13" s="786">
        <v>0</v>
      </c>
      <c r="O13" s="786">
        <v>0</v>
      </c>
      <c r="P13" s="786">
        <v>0</v>
      </c>
      <c r="Q13" s="786">
        <v>0</v>
      </c>
      <c r="R13" s="786">
        <v>0</v>
      </c>
    </row>
    <row r="14" spans="2:18" x14ac:dyDescent="0.25">
      <c r="B14" s="783">
        <v>6000</v>
      </c>
      <c r="C14" s="786">
        <v>6.5</v>
      </c>
      <c r="D14" s="786">
        <v>6.5</v>
      </c>
      <c r="E14" s="786">
        <v>6.5</v>
      </c>
      <c r="F14" s="786">
        <v>6</v>
      </c>
      <c r="G14" s="786">
        <v>5</v>
      </c>
      <c r="H14" s="786">
        <v>4</v>
      </c>
      <c r="I14" s="786">
        <v>2.5</v>
      </c>
      <c r="J14" s="786">
        <v>1</v>
      </c>
      <c r="K14" s="786">
        <v>0</v>
      </c>
      <c r="L14" s="786">
        <v>0</v>
      </c>
      <c r="M14" s="786">
        <v>0</v>
      </c>
      <c r="N14" s="786">
        <v>0</v>
      </c>
      <c r="O14" s="786">
        <v>0</v>
      </c>
      <c r="P14" s="786">
        <v>0</v>
      </c>
      <c r="Q14" s="786">
        <v>0</v>
      </c>
      <c r="R14" s="786">
        <v>0</v>
      </c>
    </row>
    <row r="15" spans="2:18" x14ac:dyDescent="0.25">
      <c r="B15" s="783">
        <v>8000</v>
      </c>
      <c r="C15" s="786">
        <v>5.5</v>
      </c>
      <c r="D15" s="786">
        <v>5.5</v>
      </c>
      <c r="E15" s="786">
        <v>5.5</v>
      </c>
      <c r="F15" s="786">
        <v>5.5</v>
      </c>
      <c r="G15" s="786">
        <v>5.5</v>
      </c>
      <c r="H15" s="786">
        <v>5</v>
      </c>
      <c r="I15" s="786">
        <v>4.5</v>
      </c>
      <c r="J15" s="786">
        <v>3</v>
      </c>
      <c r="K15" s="786">
        <v>1.5</v>
      </c>
      <c r="L15" s="786">
        <v>0.5</v>
      </c>
      <c r="M15" s="786">
        <v>0</v>
      </c>
      <c r="N15" s="786">
        <v>0</v>
      </c>
      <c r="O15" s="786">
        <v>0</v>
      </c>
      <c r="P15" s="786">
        <v>0</v>
      </c>
      <c r="Q15" s="786">
        <v>0</v>
      </c>
      <c r="R15" s="786">
        <v>0</v>
      </c>
    </row>
    <row r="16" spans="2:18" x14ac:dyDescent="0.25">
      <c r="B16" s="783">
        <v>10000</v>
      </c>
      <c r="C16" s="786">
        <v>4.5</v>
      </c>
      <c r="D16" s="786">
        <v>4.5</v>
      </c>
      <c r="E16" s="786">
        <v>4.5</v>
      </c>
      <c r="F16" s="786">
        <v>4.5</v>
      </c>
      <c r="G16" s="786">
        <v>4.5</v>
      </c>
      <c r="H16" s="786">
        <v>4</v>
      </c>
      <c r="I16" s="786">
        <v>4</v>
      </c>
      <c r="J16" s="786">
        <v>3.5</v>
      </c>
      <c r="K16" s="786">
        <v>2.5</v>
      </c>
      <c r="L16" s="786">
        <v>1.5</v>
      </c>
      <c r="M16" s="786">
        <v>0.5</v>
      </c>
      <c r="N16" s="786">
        <v>0</v>
      </c>
      <c r="O16" s="786">
        <v>0</v>
      </c>
      <c r="P16" s="786">
        <v>0</v>
      </c>
      <c r="Q16" s="786">
        <v>0</v>
      </c>
      <c r="R16" s="786">
        <v>0</v>
      </c>
    </row>
    <row r="18" spans="2:23" x14ac:dyDescent="0.25">
      <c r="B18" s="787" t="s">
        <v>593</v>
      </c>
      <c r="C18" s="784" t="s">
        <v>592</v>
      </c>
      <c r="D18" s="785"/>
      <c r="E18" s="785"/>
      <c r="F18" s="785"/>
      <c r="G18" s="785"/>
      <c r="H18" s="785"/>
      <c r="I18" s="785"/>
      <c r="J18" s="785"/>
      <c r="K18" s="785"/>
      <c r="L18" s="785"/>
      <c r="M18" s="785"/>
      <c r="N18" s="785"/>
      <c r="O18" s="785"/>
      <c r="P18" s="785"/>
      <c r="Q18" s="785"/>
      <c r="R18" s="785"/>
    </row>
    <row r="19" spans="2:23" x14ac:dyDescent="0.25">
      <c r="B19" s="782" t="s">
        <v>591</v>
      </c>
      <c r="C19" s="785">
        <v>0</v>
      </c>
      <c r="D19" s="785">
        <v>1000</v>
      </c>
      <c r="E19" s="785">
        <v>2000</v>
      </c>
      <c r="F19" s="785">
        <v>3000</v>
      </c>
      <c r="G19" s="785">
        <v>4000</v>
      </c>
      <c r="H19" s="785">
        <v>5000</v>
      </c>
      <c r="I19" s="785">
        <v>6000</v>
      </c>
      <c r="J19" s="785">
        <v>7000</v>
      </c>
      <c r="K19" s="785">
        <v>8000</v>
      </c>
      <c r="L19" s="785">
        <v>9000</v>
      </c>
      <c r="M19" s="785">
        <v>10000</v>
      </c>
      <c r="N19" s="785">
        <v>11000</v>
      </c>
      <c r="O19" s="785">
        <v>12000</v>
      </c>
      <c r="P19" s="785">
        <v>13000</v>
      </c>
      <c r="Q19" s="785">
        <v>14000</v>
      </c>
      <c r="R19" s="785">
        <v>15000</v>
      </c>
    </row>
    <row r="20" spans="2:23" x14ac:dyDescent="0.25">
      <c r="B20" s="783">
        <v>0</v>
      </c>
      <c r="C20" s="786">
        <f>MIN(MAX((C11+$C$3),$C$4)*(1+($B20/($B$25-$B$20)*($C$6-1)))*(1+(C$19/($R$19-$C$19)*($C$7-1))),$C$5)</f>
        <v>2</v>
      </c>
      <c r="D20" s="786">
        <f t="shared" ref="D20:R20" si="0">MIN(MAX((D11+$C$3),$C$4)*(1+($B20/($B$25-$B$20)*($C$6-1)))*(1+(D$19/($R$19-$C$19)*($C$7-1))),$C$5)</f>
        <v>2</v>
      </c>
      <c r="E20" s="786">
        <f t="shared" si="0"/>
        <v>2</v>
      </c>
      <c r="F20" s="786">
        <f t="shared" si="0"/>
        <v>2</v>
      </c>
      <c r="G20" s="786">
        <f t="shared" si="0"/>
        <v>2</v>
      </c>
      <c r="H20" s="786">
        <f t="shared" si="0"/>
        <v>2</v>
      </c>
      <c r="I20" s="786">
        <f t="shared" si="0"/>
        <v>2</v>
      </c>
      <c r="J20" s="786">
        <f t="shared" si="0"/>
        <v>2</v>
      </c>
      <c r="K20" s="786">
        <f t="shared" si="0"/>
        <v>2</v>
      </c>
      <c r="L20" s="786">
        <f t="shared" si="0"/>
        <v>2</v>
      </c>
      <c r="M20" s="786">
        <f t="shared" si="0"/>
        <v>2</v>
      </c>
      <c r="N20" s="786">
        <f t="shared" si="0"/>
        <v>2</v>
      </c>
      <c r="O20" s="786">
        <f t="shared" si="0"/>
        <v>2</v>
      </c>
      <c r="P20" s="786">
        <f t="shared" si="0"/>
        <v>2</v>
      </c>
      <c r="Q20" s="786">
        <f t="shared" si="0"/>
        <v>2</v>
      </c>
      <c r="R20" s="786">
        <f t="shared" si="0"/>
        <v>2</v>
      </c>
      <c r="S20" s="789"/>
    </row>
    <row r="21" spans="2:23" x14ac:dyDescent="0.25">
      <c r="B21" s="783">
        <v>2000</v>
      </c>
      <c r="C21" s="786">
        <f t="shared" ref="C21:R25" si="1">MIN(MAX((C12+$C$3),$C$4)*(1+($B21/($B$25-$B$20)*($C$6-1)))*(1+(C$19/($R$19-$C$19)*($C$7-1))),$C$5)</f>
        <v>7</v>
      </c>
      <c r="D21" s="786">
        <f t="shared" si="1"/>
        <v>6</v>
      </c>
      <c r="E21" s="786">
        <f t="shared" si="1"/>
        <v>3.5</v>
      </c>
      <c r="F21" s="786">
        <f t="shared" si="1"/>
        <v>2</v>
      </c>
      <c r="G21" s="786">
        <f t="shared" si="1"/>
        <v>2</v>
      </c>
      <c r="H21" s="786">
        <f t="shared" si="1"/>
        <v>2</v>
      </c>
      <c r="I21" s="786">
        <f t="shared" si="1"/>
        <v>2</v>
      </c>
      <c r="J21" s="786">
        <f t="shared" si="1"/>
        <v>2</v>
      </c>
      <c r="K21" s="786">
        <f t="shared" si="1"/>
        <v>2</v>
      </c>
      <c r="L21" s="786">
        <f t="shared" si="1"/>
        <v>2</v>
      </c>
      <c r="M21" s="786">
        <f t="shared" si="1"/>
        <v>2</v>
      </c>
      <c r="N21" s="786">
        <f t="shared" si="1"/>
        <v>2</v>
      </c>
      <c r="O21" s="786">
        <f t="shared" si="1"/>
        <v>2</v>
      </c>
      <c r="P21" s="786">
        <f t="shared" si="1"/>
        <v>2</v>
      </c>
      <c r="Q21" s="786">
        <f t="shared" si="1"/>
        <v>2</v>
      </c>
      <c r="R21" s="786">
        <f t="shared" si="1"/>
        <v>2</v>
      </c>
      <c r="S21" s="789"/>
      <c r="T21" s="789"/>
      <c r="U21" s="789"/>
      <c r="V21" s="789"/>
      <c r="W21" s="789"/>
    </row>
    <row r="22" spans="2:23" x14ac:dyDescent="0.25">
      <c r="B22" s="783">
        <v>4000</v>
      </c>
      <c r="C22" s="786">
        <f t="shared" si="1"/>
        <v>7</v>
      </c>
      <c r="D22" s="786">
        <f t="shared" si="1"/>
        <v>6.5</v>
      </c>
      <c r="E22" s="786">
        <f t="shared" si="1"/>
        <v>6.5</v>
      </c>
      <c r="F22" s="786">
        <f t="shared" si="1"/>
        <v>5</v>
      </c>
      <c r="G22" s="786">
        <f t="shared" si="1"/>
        <v>3</v>
      </c>
      <c r="H22" s="786">
        <f t="shared" si="1"/>
        <v>2</v>
      </c>
      <c r="I22" s="786">
        <f t="shared" si="1"/>
        <v>2</v>
      </c>
      <c r="J22" s="786">
        <f t="shared" si="1"/>
        <v>2</v>
      </c>
      <c r="K22" s="786">
        <f t="shared" si="1"/>
        <v>2</v>
      </c>
      <c r="L22" s="786">
        <f t="shared" si="1"/>
        <v>2</v>
      </c>
      <c r="M22" s="786">
        <f t="shared" si="1"/>
        <v>2</v>
      </c>
      <c r="N22" s="786">
        <f t="shared" si="1"/>
        <v>2</v>
      </c>
      <c r="O22" s="786">
        <f t="shared" si="1"/>
        <v>2</v>
      </c>
      <c r="P22" s="786">
        <f t="shared" si="1"/>
        <v>2</v>
      </c>
      <c r="Q22" s="786">
        <f t="shared" si="1"/>
        <v>2</v>
      </c>
      <c r="R22" s="786">
        <f t="shared" si="1"/>
        <v>2</v>
      </c>
      <c r="S22" s="789"/>
    </row>
    <row r="23" spans="2:23" x14ac:dyDescent="0.25">
      <c r="B23" s="783">
        <v>6000</v>
      </c>
      <c r="C23" s="786">
        <f t="shared" si="1"/>
        <v>6.5</v>
      </c>
      <c r="D23" s="786">
        <f t="shared" si="1"/>
        <v>6.5</v>
      </c>
      <c r="E23" s="786">
        <f t="shared" si="1"/>
        <v>6.5</v>
      </c>
      <c r="F23" s="786">
        <f t="shared" si="1"/>
        <v>6</v>
      </c>
      <c r="G23" s="786">
        <f t="shared" si="1"/>
        <v>5</v>
      </c>
      <c r="H23" s="786">
        <f t="shared" si="1"/>
        <v>4</v>
      </c>
      <c r="I23" s="786">
        <f t="shared" si="1"/>
        <v>2.5</v>
      </c>
      <c r="J23" s="786">
        <f t="shared" si="1"/>
        <v>2</v>
      </c>
      <c r="K23" s="786">
        <f t="shared" si="1"/>
        <v>2</v>
      </c>
      <c r="L23" s="786">
        <f t="shared" si="1"/>
        <v>2</v>
      </c>
      <c r="M23" s="786">
        <f t="shared" si="1"/>
        <v>2</v>
      </c>
      <c r="N23" s="786">
        <f t="shared" si="1"/>
        <v>2</v>
      </c>
      <c r="O23" s="786">
        <f t="shared" si="1"/>
        <v>2</v>
      </c>
      <c r="P23" s="786">
        <f t="shared" si="1"/>
        <v>2</v>
      </c>
      <c r="Q23" s="786">
        <f t="shared" si="1"/>
        <v>2</v>
      </c>
      <c r="R23" s="786">
        <f t="shared" si="1"/>
        <v>2</v>
      </c>
      <c r="S23" s="789"/>
    </row>
    <row r="24" spans="2:23" x14ac:dyDescent="0.25">
      <c r="B24" s="783">
        <v>8000</v>
      </c>
      <c r="C24" s="786">
        <f t="shared" si="1"/>
        <v>5.5</v>
      </c>
      <c r="D24" s="786">
        <f t="shared" si="1"/>
        <v>5.5</v>
      </c>
      <c r="E24" s="786">
        <f t="shared" si="1"/>
        <v>5.5</v>
      </c>
      <c r="F24" s="786">
        <f t="shared" si="1"/>
        <v>5.5</v>
      </c>
      <c r="G24" s="786">
        <f t="shared" si="1"/>
        <v>5.5</v>
      </c>
      <c r="H24" s="786">
        <f t="shared" si="1"/>
        <v>5</v>
      </c>
      <c r="I24" s="786">
        <f t="shared" si="1"/>
        <v>4.5</v>
      </c>
      <c r="J24" s="786">
        <f t="shared" si="1"/>
        <v>3</v>
      </c>
      <c r="K24" s="786">
        <f t="shared" si="1"/>
        <v>2</v>
      </c>
      <c r="L24" s="786">
        <f t="shared" si="1"/>
        <v>2</v>
      </c>
      <c r="M24" s="786">
        <f t="shared" si="1"/>
        <v>2</v>
      </c>
      <c r="N24" s="786">
        <f t="shared" si="1"/>
        <v>2</v>
      </c>
      <c r="O24" s="786">
        <f t="shared" si="1"/>
        <v>2</v>
      </c>
      <c r="P24" s="786">
        <f t="shared" si="1"/>
        <v>2</v>
      </c>
      <c r="Q24" s="786">
        <f t="shared" si="1"/>
        <v>2</v>
      </c>
      <c r="R24" s="786">
        <f t="shared" si="1"/>
        <v>2</v>
      </c>
      <c r="S24" s="789"/>
    </row>
    <row r="25" spans="2:23" x14ac:dyDescent="0.25">
      <c r="B25" s="783">
        <v>10000</v>
      </c>
      <c r="C25" s="786">
        <f t="shared" si="1"/>
        <v>4.5</v>
      </c>
      <c r="D25" s="786">
        <f t="shared" si="1"/>
        <v>4.5</v>
      </c>
      <c r="E25" s="786">
        <f t="shared" si="1"/>
        <v>4.5</v>
      </c>
      <c r="F25" s="786">
        <f t="shared" si="1"/>
        <v>4.5</v>
      </c>
      <c r="G25" s="786">
        <f t="shared" si="1"/>
        <v>4.5</v>
      </c>
      <c r="H25" s="786">
        <f t="shared" si="1"/>
        <v>4</v>
      </c>
      <c r="I25" s="786">
        <f t="shared" si="1"/>
        <v>4</v>
      </c>
      <c r="J25" s="786">
        <f t="shared" si="1"/>
        <v>3.5</v>
      </c>
      <c r="K25" s="786">
        <f t="shared" si="1"/>
        <v>2.5</v>
      </c>
      <c r="L25" s="786">
        <f t="shared" si="1"/>
        <v>2</v>
      </c>
      <c r="M25" s="786">
        <f t="shared" si="1"/>
        <v>2</v>
      </c>
      <c r="N25" s="786">
        <f t="shared" si="1"/>
        <v>2</v>
      </c>
      <c r="O25" s="786">
        <f t="shared" si="1"/>
        <v>2</v>
      </c>
      <c r="P25" s="786">
        <f t="shared" si="1"/>
        <v>2</v>
      </c>
      <c r="Q25" s="786">
        <f t="shared" si="1"/>
        <v>2</v>
      </c>
      <c r="R25" s="786">
        <f t="shared" si="1"/>
        <v>2</v>
      </c>
      <c r="S25" s="789"/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495</v>
      </c>
      <c r="C2">
        <v>100</v>
      </c>
      <c r="D2">
        <v>140</v>
      </c>
    </row>
    <row r="3" spans="2:4" x14ac:dyDescent="0.25">
      <c r="B3" t="s">
        <v>496</v>
      </c>
      <c r="C3">
        <v>100</v>
      </c>
      <c r="D3">
        <v>150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13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22" t="s">
        <v>0</v>
      </c>
      <c r="B4" s="923"/>
      <c r="C4" s="923"/>
      <c r="D4" s="923"/>
      <c r="E4" s="923"/>
      <c r="F4" s="924"/>
    </row>
    <row r="5" spans="1:6" x14ac:dyDescent="0.2">
      <c r="A5" s="2" t="s">
        <v>1</v>
      </c>
      <c r="B5" s="925" t="s">
        <v>576</v>
      </c>
      <c r="C5" s="926"/>
      <c r="D5" s="3" t="s">
        <v>2</v>
      </c>
      <c r="E5" s="927">
        <v>1</v>
      </c>
      <c r="F5" s="928"/>
    </row>
    <row r="6" spans="1:6" x14ac:dyDescent="0.2">
      <c r="A6" s="4" t="s">
        <v>3</v>
      </c>
      <c r="B6" s="929">
        <v>44281</v>
      </c>
      <c r="C6" s="930"/>
      <c r="D6" s="5" t="s">
        <v>4</v>
      </c>
      <c r="E6" s="931">
        <v>1</v>
      </c>
      <c r="F6" s="932"/>
    </row>
    <row r="7" spans="1:6" x14ac:dyDescent="0.2">
      <c r="A7" s="6" t="s">
        <v>5</v>
      </c>
      <c r="B7" s="918" t="s">
        <v>577</v>
      </c>
      <c r="C7" s="919"/>
      <c r="D7" s="7" t="s">
        <v>6</v>
      </c>
      <c r="E7" s="920"/>
      <c r="F7" s="921"/>
    </row>
    <row r="9" spans="1:6" x14ac:dyDescent="0.2">
      <c r="A9" s="938" t="s">
        <v>7</v>
      </c>
      <c r="B9" s="700"/>
      <c r="C9" s="701"/>
      <c r="D9" s="8" t="s">
        <v>8</v>
      </c>
      <c r="E9" s="8" t="s">
        <v>9</v>
      </c>
      <c r="F9" s="9" t="s">
        <v>10</v>
      </c>
    </row>
    <row r="10" spans="1:6" x14ac:dyDescent="0.2">
      <c r="A10" s="939"/>
      <c r="B10" s="702"/>
      <c r="C10" s="703"/>
      <c r="D10" s="682"/>
      <c r="E10" s="10"/>
      <c r="F10" s="11"/>
    </row>
    <row r="12" spans="1:6" ht="12.75" customHeight="1" x14ac:dyDescent="0.2">
      <c r="A12" s="940" t="s">
        <v>521</v>
      </c>
      <c r="B12" s="736" t="s">
        <v>535</v>
      </c>
      <c r="C12" s="737" t="s">
        <v>535</v>
      </c>
      <c r="D12" s="941" t="s">
        <v>11</v>
      </c>
      <c r="E12" s="680"/>
      <c r="F12" s="678"/>
    </row>
    <row r="13" spans="1:6" x14ac:dyDescent="0.2">
      <c r="A13" s="939"/>
      <c r="B13" s="738" t="s">
        <v>536</v>
      </c>
      <c r="C13" s="739" t="s">
        <v>536</v>
      </c>
      <c r="D13" s="942"/>
      <c r="E13" s="681"/>
      <c r="F13" s="679"/>
    </row>
    <row r="15" spans="1:6" x14ac:dyDescent="0.2">
      <c r="A15" s="943" t="s">
        <v>48</v>
      </c>
      <c r="B15" s="55">
        <v>-2.7</v>
      </c>
      <c r="C15" s="55">
        <v>-2.7</v>
      </c>
      <c r="D15" s="945" t="s">
        <v>509</v>
      </c>
      <c r="E15" s="58">
        <v>1.5</v>
      </c>
      <c r="F15" s="59">
        <v>1.5</v>
      </c>
    </row>
    <row r="16" spans="1:6" x14ac:dyDescent="0.2">
      <c r="A16" s="944"/>
      <c r="B16" s="57">
        <v>-2.4</v>
      </c>
      <c r="C16" s="57">
        <v>-2.4</v>
      </c>
      <c r="D16" s="946"/>
      <c r="E16" s="723">
        <v>-1.7</v>
      </c>
      <c r="F16" s="724">
        <v>-1.7</v>
      </c>
    </row>
    <row r="17" spans="1:13" x14ac:dyDescent="0.2">
      <c r="A17" s="12" t="s">
        <v>12</v>
      </c>
      <c r="B17" s="743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7" t="s">
        <v>579</v>
      </c>
      <c r="F18" s="778" t="s">
        <v>580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567</v>
      </c>
      <c r="E21" s="23"/>
      <c r="F21" s="354" t="s">
        <v>568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947" t="s">
        <v>537</v>
      </c>
      <c r="I22" s="947"/>
      <c r="J22" s="947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60" t="s">
        <v>538</v>
      </c>
      <c r="I24" s="761" t="s">
        <v>539</v>
      </c>
      <c r="J24" s="762" t="s">
        <v>542</v>
      </c>
    </row>
    <row r="25" spans="1:13" ht="13.5" thickBot="1" x14ac:dyDescent="0.25">
      <c r="A25" s="29" t="s">
        <v>13</v>
      </c>
      <c r="B25" s="61" t="s">
        <v>529</v>
      </c>
      <c r="C25" s="61" t="s">
        <v>544</v>
      </c>
      <c r="D25" s="30" t="s">
        <v>13</v>
      </c>
      <c r="E25" s="711" t="s">
        <v>508</v>
      </c>
      <c r="F25" s="712">
        <v>3</v>
      </c>
      <c r="H25" s="750">
        <v>49.8</v>
      </c>
      <c r="I25" s="751">
        <v>49.4</v>
      </c>
      <c r="J25" s="759">
        <v>40.799999999999997</v>
      </c>
    </row>
    <row r="26" spans="1:13" ht="13.5" thickBot="1" x14ac:dyDescent="0.25">
      <c r="A26" s="32" t="s">
        <v>17</v>
      </c>
      <c r="B26" s="54" t="s">
        <v>555</v>
      </c>
      <c r="C26" s="54" t="s">
        <v>544</v>
      </c>
      <c r="D26" s="25" t="s">
        <v>17</v>
      </c>
      <c r="E26" s="713" t="s">
        <v>554</v>
      </c>
      <c r="F26" s="714" t="s">
        <v>554</v>
      </c>
      <c r="H26" s="763" t="s">
        <v>540</v>
      </c>
      <c r="I26" s="764" t="s">
        <v>541</v>
      </c>
      <c r="J26" s="765" t="s">
        <v>543</v>
      </c>
    </row>
    <row r="27" spans="1:13" ht="13.5" thickBot="1" x14ac:dyDescent="0.25">
      <c r="H27" s="748">
        <v>41.1</v>
      </c>
      <c r="I27" s="749">
        <v>44.8</v>
      </c>
      <c r="J27" s="766">
        <v>27.9</v>
      </c>
    </row>
    <row r="28" spans="1:13" x14ac:dyDescent="0.2">
      <c r="A28" s="2" t="s">
        <v>23</v>
      </c>
      <c r="B28" s="721">
        <v>22.5</v>
      </c>
      <c r="C28" s="721">
        <v>13.1</v>
      </c>
      <c r="D28" s="33"/>
      <c r="E28" s="9" t="s">
        <v>513</v>
      </c>
      <c r="F28" s="59" t="s">
        <v>515</v>
      </c>
      <c r="G28" s="220"/>
    </row>
    <row r="29" spans="1:13" x14ac:dyDescent="0.2">
      <c r="A29" s="24"/>
      <c r="B29" s="722">
        <v>7.8</v>
      </c>
      <c r="C29" s="722">
        <v>7.3</v>
      </c>
      <c r="D29" s="34"/>
      <c r="E29" s="34"/>
      <c r="F29" s="720" t="s">
        <v>516</v>
      </c>
      <c r="G29" s="220"/>
    </row>
    <row r="30" spans="1:13" ht="13.5" thickBot="1" x14ac:dyDescent="0.25">
      <c r="K30" s="758" t="s">
        <v>574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510</v>
      </c>
      <c r="F31" s="744" t="s">
        <v>482</v>
      </c>
      <c r="G31" s="770"/>
      <c r="H31" s="767" t="s">
        <v>553</v>
      </c>
      <c r="I31" s="768" t="s">
        <v>552</v>
      </c>
      <c r="J31" s="768" t="s">
        <v>572</v>
      </c>
      <c r="K31" s="768" t="s">
        <v>573</v>
      </c>
      <c r="L31" s="768" t="s">
        <v>570</v>
      </c>
      <c r="M31" s="769" t="s">
        <v>571</v>
      </c>
    </row>
    <row r="32" spans="1:13" x14ac:dyDescent="0.2">
      <c r="A32" s="29" t="s">
        <v>26</v>
      </c>
      <c r="B32" s="704" t="s">
        <v>217</v>
      </c>
      <c r="C32" s="741">
        <f>('04_Springs'!$O$10 -'04_Springs'!$C$12+'SETUP-SHEET_After21T03'!D32)*193</f>
        <v>2948.268</v>
      </c>
      <c r="D32" s="740">
        <v>14.3</v>
      </c>
      <c r="E32" s="705" t="s">
        <v>545</v>
      </c>
      <c r="F32" s="745" t="s">
        <v>550</v>
      </c>
      <c r="G32" s="772" t="s">
        <v>13</v>
      </c>
      <c r="H32" s="750">
        <v>15.1</v>
      </c>
      <c r="I32" s="751">
        <v>2</v>
      </c>
      <c r="J32" s="751">
        <v>87.405000000000001</v>
      </c>
      <c r="K32" s="771"/>
      <c r="L32" s="751">
        <f>$J32-$H32-$I32-49.8</f>
        <v>20.50500000000001</v>
      </c>
      <c r="M32" s="752">
        <f>$J32-$H32-$I32-49.8</f>
        <v>20.50500000000001</v>
      </c>
    </row>
    <row r="33" spans="1:13" ht="13.5" thickBot="1" x14ac:dyDescent="0.25">
      <c r="A33" s="29" t="s">
        <v>27</v>
      </c>
      <c r="B33" s="704" t="s">
        <v>234</v>
      </c>
      <c r="C33" s="741">
        <f>('04_Springs'!$O$11-'04_Springs'!$C$26+'SETUP-SHEET_After21T03'!D33)*193</f>
        <v>2675.5589999999997</v>
      </c>
      <c r="D33" s="740">
        <v>19</v>
      </c>
      <c r="E33" s="704" t="s">
        <v>546</v>
      </c>
      <c r="F33" s="746" t="s">
        <v>551</v>
      </c>
      <c r="G33" s="773" t="s">
        <v>17</v>
      </c>
      <c r="H33" s="750">
        <v>15.1</v>
      </c>
      <c r="I33" s="751">
        <v>2</v>
      </c>
      <c r="J33" s="751">
        <v>96.4</v>
      </c>
      <c r="K33" s="771"/>
      <c r="L33" s="751">
        <f>$J$33-$H$33-$I$33-41.1</f>
        <v>38.20000000000001</v>
      </c>
      <c r="M33" s="752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10" t="s">
        <v>547</v>
      </c>
      <c r="F34" s="746" t="s">
        <v>549</v>
      </c>
      <c r="G34" s="774" t="s">
        <v>89</v>
      </c>
      <c r="H34" s="754"/>
      <c r="I34" s="755"/>
      <c r="J34" s="208">
        <v>172.52</v>
      </c>
      <c r="K34" s="208">
        <v>70.3</v>
      </c>
      <c r="L34" s="1025">
        <f>J34-K34-40.8</f>
        <v>61.420000000000016</v>
      </c>
      <c r="M34" s="1026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8" t="s">
        <v>548</v>
      </c>
      <c r="F35" s="753">
        <f>28.2+36.2</f>
        <v>64.400000000000006</v>
      </c>
      <c r="G35" s="775" t="s">
        <v>90</v>
      </c>
      <c r="H35" s="756"/>
      <c r="I35" s="757"/>
      <c r="J35" s="747">
        <v>232.88499999999999</v>
      </c>
      <c r="K35" s="747">
        <v>140</v>
      </c>
      <c r="L35" s="1027">
        <f>J35-K35-27.9</f>
        <v>64.984999999999985</v>
      </c>
      <c r="M35" s="1028"/>
    </row>
    <row r="36" spans="1:13" x14ac:dyDescent="0.2">
      <c r="C36" s="937" t="s">
        <v>575</v>
      </c>
      <c r="D36" s="937"/>
      <c r="E36" s="937"/>
      <c r="F36" s="937"/>
    </row>
    <row r="37" spans="1:13" x14ac:dyDescent="0.2">
      <c r="A37" s="2" t="s">
        <v>30</v>
      </c>
      <c r="B37" s="33"/>
      <c r="C37" s="37" t="s">
        <v>485</v>
      </c>
      <c r="D37" s="37"/>
      <c r="E37" s="37" t="s">
        <v>486</v>
      </c>
      <c r="F37" s="38"/>
    </row>
    <row r="38" spans="1:13" x14ac:dyDescent="0.2">
      <c r="A38" s="62" t="s">
        <v>483</v>
      </c>
      <c r="B38" s="637" t="s">
        <v>487</v>
      </c>
      <c r="C38" s="715" t="s">
        <v>556</v>
      </c>
      <c r="D38" s="705" t="s">
        <v>557</v>
      </c>
      <c r="E38" s="705" t="s">
        <v>558</v>
      </c>
      <c r="F38" s="716" t="s">
        <v>559</v>
      </c>
    </row>
    <row r="39" spans="1:13" x14ac:dyDescent="0.2">
      <c r="A39" s="63" t="s">
        <v>483</v>
      </c>
      <c r="B39" s="638" t="s">
        <v>488</v>
      </c>
      <c r="C39" s="713" t="s">
        <v>560</v>
      </c>
      <c r="D39" s="713" t="s">
        <v>561</v>
      </c>
      <c r="E39" s="713" t="s">
        <v>562</v>
      </c>
      <c r="F39" s="714" t="s">
        <v>562</v>
      </c>
    </row>
    <row r="40" spans="1:13" x14ac:dyDescent="0.2">
      <c r="C40" s="937" t="s">
        <v>575</v>
      </c>
      <c r="D40" s="937"/>
      <c r="E40" s="937"/>
      <c r="F40" s="937"/>
    </row>
    <row r="41" spans="1:13" x14ac:dyDescent="0.2">
      <c r="A41" s="2" t="s">
        <v>33</v>
      </c>
      <c r="B41" s="33"/>
      <c r="C41" s="37" t="s">
        <v>31</v>
      </c>
      <c r="D41" s="639"/>
      <c r="E41" s="37" t="s">
        <v>32</v>
      </c>
      <c r="F41" s="640"/>
    </row>
    <row r="42" spans="1:13" x14ac:dyDescent="0.2">
      <c r="A42" s="62" t="s">
        <v>484</v>
      </c>
      <c r="B42" s="637" t="s">
        <v>13</v>
      </c>
      <c r="C42" s="705" t="s">
        <v>563</v>
      </c>
      <c r="D42" s="641"/>
      <c r="E42" s="718" t="s">
        <v>564</v>
      </c>
      <c r="F42" s="48"/>
    </row>
    <row r="43" spans="1:13" x14ac:dyDescent="0.2">
      <c r="A43" s="63" t="s">
        <v>484</v>
      </c>
      <c r="B43" s="638" t="s">
        <v>17</v>
      </c>
      <c r="C43" s="717" t="s">
        <v>565</v>
      </c>
      <c r="D43" s="642"/>
      <c r="E43" s="719" t="s">
        <v>566</v>
      </c>
      <c r="F43" s="643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569</v>
      </c>
    </row>
    <row r="46" spans="1:13" x14ac:dyDescent="0.2">
      <c r="A46" s="742" t="s">
        <v>527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7" t="s">
        <v>511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6" t="s">
        <v>528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3"/>
      <c r="B58" s="220"/>
      <c r="C58" s="220"/>
      <c r="D58" s="220"/>
      <c r="E58" s="220"/>
      <c r="F58" s="356" t="s">
        <v>512</v>
      </c>
    </row>
    <row r="59" spans="1:6" x14ac:dyDescent="0.2">
      <c r="A59" s="684"/>
      <c r="B59" s="220"/>
      <c r="C59" s="220"/>
      <c r="D59" s="220"/>
      <c r="E59" s="220"/>
      <c r="F59" s="355" t="s">
        <v>263</v>
      </c>
    </row>
    <row r="60" spans="1:6" x14ac:dyDescent="0.2">
      <c r="A60" s="683"/>
      <c r="B60" s="220"/>
      <c r="C60" s="220"/>
      <c r="D60" s="220"/>
      <c r="E60" s="220"/>
      <c r="F60" s="356" t="s">
        <v>512</v>
      </c>
    </row>
    <row r="61" spans="1:6" x14ac:dyDescent="0.2">
      <c r="A61" s="683"/>
      <c r="B61" s="220"/>
      <c r="C61" s="220"/>
      <c r="D61" s="220"/>
      <c r="E61" s="220"/>
      <c r="F61" s="355" t="s">
        <v>264</v>
      </c>
    </row>
    <row r="62" spans="1:6" x14ac:dyDescent="0.2">
      <c r="A62" s="683"/>
      <c r="B62" s="220"/>
      <c r="C62" s="220"/>
      <c r="D62" s="220"/>
      <c r="E62" s="220"/>
      <c r="F62" s="31" t="s">
        <v>514</v>
      </c>
    </row>
    <row r="63" spans="1:6" x14ac:dyDescent="0.2">
      <c r="A63" s="683"/>
      <c r="B63" s="220"/>
      <c r="C63" s="220"/>
      <c r="D63" s="220"/>
      <c r="E63" s="220"/>
      <c r="F63" s="685"/>
    </row>
    <row r="64" spans="1:6" x14ac:dyDescent="0.2">
      <c r="A64" s="683"/>
      <c r="B64" s="220"/>
      <c r="C64" s="220"/>
      <c r="D64" s="220"/>
      <c r="E64" s="220"/>
      <c r="F64" s="685"/>
    </row>
    <row r="65" spans="1:6" x14ac:dyDescent="0.2">
      <c r="A65" s="16"/>
      <c r="B65" s="18"/>
      <c r="C65" s="18"/>
      <c r="D65" s="18"/>
      <c r="E65" s="18"/>
      <c r="F65" s="686"/>
    </row>
  </sheetData>
  <mergeCells count="17">
    <mergeCell ref="A15:A16"/>
    <mergeCell ref="D15:D16"/>
    <mergeCell ref="B7:C7"/>
    <mergeCell ref="E7:F7"/>
    <mergeCell ref="A9:A10"/>
    <mergeCell ref="A12:A13"/>
    <mergeCell ref="D12:D13"/>
    <mergeCell ref="A4:F4"/>
    <mergeCell ref="B5:C5"/>
    <mergeCell ref="E5:F5"/>
    <mergeCell ref="B6:C6"/>
    <mergeCell ref="E6:F6"/>
    <mergeCell ref="L34:M34"/>
    <mergeCell ref="L35:M35"/>
    <mergeCell ref="H22:J22"/>
    <mergeCell ref="C36:F36"/>
    <mergeCell ref="C40:F40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914" t="s">
        <v>185</v>
      </c>
      <c r="C2" s="915" t="s">
        <v>34</v>
      </c>
      <c r="D2" s="462"/>
      <c r="E2" s="462"/>
      <c r="G2" s="1003" t="s">
        <v>135</v>
      </c>
      <c r="H2" s="1004"/>
      <c r="I2" s="1004"/>
      <c r="J2" s="1004"/>
      <c r="K2" s="1004"/>
      <c r="L2" s="1004"/>
      <c r="M2" s="1004"/>
      <c r="N2" s="1004"/>
      <c r="O2" s="1004"/>
      <c r="P2" s="1004"/>
      <c r="Q2" s="1005"/>
    </row>
    <row r="3" spans="2:19" ht="15.75" thickBot="1" x14ac:dyDescent="0.3">
      <c r="B3" s="263">
        <v>0.55000000000000004</v>
      </c>
      <c r="C3" s="264">
        <v>0.53</v>
      </c>
      <c r="D3" s="546"/>
      <c r="E3" s="546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6"/>
      <c r="E4" s="546"/>
      <c r="G4" s="1006" t="s">
        <v>177</v>
      </c>
      <c r="H4" s="1007"/>
      <c r="I4" s="1008"/>
      <c r="J4" s="381"/>
      <c r="K4" s="381"/>
      <c r="L4" s="381"/>
      <c r="M4" s="1006" t="s">
        <v>179</v>
      </c>
      <c r="N4" s="1007"/>
      <c r="O4" s="1007"/>
      <c r="P4" s="1007"/>
      <c r="Q4" s="1008"/>
    </row>
    <row r="5" spans="2:19" x14ac:dyDescent="0.25">
      <c r="B5" s="263">
        <v>0.56999999999999995</v>
      </c>
      <c r="C5" s="264">
        <v>0.55000000000000004</v>
      </c>
      <c r="D5" s="546"/>
      <c r="E5" s="546"/>
      <c r="G5" s="99" t="s">
        <v>532</v>
      </c>
      <c r="H5" s="725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534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6"/>
      <c r="E6" s="546"/>
      <c r="G6" s="99" t="s">
        <v>533</v>
      </c>
      <c r="H6" s="725">
        <f>45/2</f>
        <v>22.5</v>
      </c>
      <c r="I6" s="381" t="s">
        <v>136</v>
      </c>
      <c r="J6" s="381"/>
      <c r="K6" s="381"/>
      <c r="L6" s="381"/>
      <c r="M6" s="82" t="s">
        <v>530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6"/>
      <c r="E7" s="546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6"/>
      <c r="E8" s="546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6"/>
      <c r="E9" s="546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6"/>
      <c r="E10" s="546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6"/>
      <c r="E11" s="546"/>
      <c r="G11" s="727" t="s">
        <v>175</v>
      </c>
      <c r="H11" s="728">
        <v>0</v>
      </c>
      <c r="I11" s="728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6"/>
      <c r="E12" s="546"/>
      <c r="G12" s="727" t="s">
        <v>176</v>
      </c>
      <c r="H12" s="728">
        <v>0</v>
      </c>
      <c r="I12" s="728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6"/>
      <c r="E13" s="546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3" t="s">
        <v>454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611</v>
      </c>
    </row>
    <row r="16" spans="2:19" ht="15.75" thickBot="1" x14ac:dyDescent="0.3">
      <c r="B16" s="536" t="s">
        <v>431</v>
      </c>
      <c r="C16" s="95" t="s">
        <v>531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8">
        <v>2.5000000000000001E-3</v>
      </c>
    </row>
    <row r="17" spans="2:19" x14ac:dyDescent="0.25">
      <c r="G17" s="729" t="s">
        <v>156</v>
      </c>
      <c r="H17" s="730">
        <v>0</v>
      </c>
      <c r="I17" s="731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8">
        <v>1.895E-3</v>
      </c>
    </row>
    <row r="18" spans="2:19" x14ac:dyDescent="0.25">
      <c r="B18" s="548" t="s">
        <v>434</v>
      </c>
      <c r="C18" s="549"/>
      <c r="D18" s="549"/>
      <c r="E18" s="550"/>
      <c r="G18" s="732" t="s">
        <v>158</v>
      </c>
      <c r="H18" s="733">
        <v>0</v>
      </c>
      <c r="I18" s="734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7" t="s">
        <v>489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51" t="s">
        <v>249</v>
      </c>
      <c r="C20" s="552" t="s">
        <v>439</v>
      </c>
      <c r="D20" s="648" t="s">
        <v>491</v>
      </c>
      <c r="E20" s="553" t="s">
        <v>440</v>
      </c>
      <c r="G20" s="100" t="s">
        <v>161</v>
      </c>
      <c r="H20" s="797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4" t="s">
        <v>435</v>
      </c>
      <c r="C21" s="126">
        <v>1</v>
      </c>
      <c r="D21" s="71" t="s">
        <v>184</v>
      </c>
      <c r="E21" s="563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4" t="s">
        <v>437</v>
      </c>
      <c r="C22" s="126">
        <v>0.6</v>
      </c>
      <c r="D22" s="71">
        <v>93.3</v>
      </c>
      <c r="E22" s="563">
        <v>-0.06</v>
      </c>
      <c r="G22" s="1011" t="s">
        <v>178</v>
      </c>
      <c r="H22" s="1012"/>
      <c r="I22" s="1013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4" t="s">
        <v>436</v>
      </c>
      <c r="C23" s="126">
        <v>0.5</v>
      </c>
      <c r="D23" s="71">
        <v>76.3</v>
      </c>
      <c r="E23" s="563">
        <v>-0.12</v>
      </c>
      <c r="G23" s="99"/>
      <c r="H23" s="381"/>
      <c r="I23" s="381"/>
      <c r="J23" s="381"/>
      <c r="K23" s="381"/>
      <c r="L23" s="381"/>
      <c r="M23" s="82" t="s">
        <v>164</v>
      </c>
      <c r="N23" s="1014">
        <f>N21/(N21+O21)</f>
        <v>0.52776146129452606</v>
      </c>
      <c r="O23" s="1014"/>
      <c r="P23" s="726" t="s">
        <v>184</v>
      </c>
      <c r="Q23" s="87"/>
      <c r="S23" s="380">
        <v>1282</v>
      </c>
    </row>
    <row r="24" spans="2:19" x14ac:dyDescent="0.25">
      <c r="B24" s="554" t="s">
        <v>438</v>
      </c>
      <c r="C24" s="564">
        <v>0.42</v>
      </c>
      <c r="D24" s="71">
        <v>66.3</v>
      </c>
      <c r="E24" s="563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009">
        <v>3.6</v>
      </c>
      <c r="O24" s="1009"/>
      <c r="P24" s="726" t="s">
        <v>184</v>
      </c>
      <c r="Q24" s="87"/>
      <c r="S24" s="380">
        <v>1124</v>
      </c>
    </row>
    <row r="25" spans="2:19" x14ac:dyDescent="0.25">
      <c r="B25" s="554" t="s">
        <v>441</v>
      </c>
      <c r="C25" s="564">
        <v>0.35</v>
      </c>
      <c r="D25" s="71">
        <v>55.3</v>
      </c>
      <c r="E25" s="563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010">
        <f>(N21+O21)/N24</f>
        <v>1136.2233298074136</v>
      </c>
      <c r="O25" s="1010"/>
      <c r="P25" s="388" t="s">
        <v>182</v>
      </c>
      <c r="Q25" s="87"/>
      <c r="S25" s="455">
        <f>S24/S23-1</f>
        <v>-0.12324492979719193</v>
      </c>
    </row>
    <row r="26" spans="2:19" x14ac:dyDescent="0.25">
      <c r="B26" s="554" t="s">
        <v>442</v>
      </c>
      <c r="C26" s="564">
        <v>0.28999999999999998</v>
      </c>
      <c r="D26" s="71">
        <v>46.3</v>
      </c>
      <c r="E26" s="563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4"/>
      <c r="C27" s="565"/>
      <c r="E27" s="566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5"/>
    </row>
    <row r="28" spans="2:19" x14ac:dyDescent="0.25">
      <c r="B28" s="567" t="s">
        <v>490</v>
      </c>
      <c r="C28" s="565"/>
      <c r="E28" s="566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51" t="s">
        <v>249</v>
      </c>
      <c r="C29" s="568" t="s">
        <v>439</v>
      </c>
      <c r="D29" s="648" t="s">
        <v>491</v>
      </c>
      <c r="E29" s="569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4" t="s">
        <v>435</v>
      </c>
      <c r="C30" s="126">
        <v>1</v>
      </c>
      <c r="D30" s="71" t="s">
        <v>184</v>
      </c>
      <c r="E30" s="563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4" t="s">
        <v>437</v>
      </c>
      <c r="C31" s="126">
        <v>0.75</v>
      </c>
      <c r="D31" s="71">
        <v>95.5</v>
      </c>
      <c r="E31" s="563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4" t="s">
        <v>436</v>
      </c>
      <c r="C32" s="126">
        <v>0.63</v>
      </c>
      <c r="D32" s="71">
        <v>81.5</v>
      </c>
      <c r="E32" s="563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4" t="s">
        <v>438</v>
      </c>
      <c r="C33" s="556">
        <v>0.55000000000000004</v>
      </c>
      <c r="D33" s="71">
        <v>70.5</v>
      </c>
      <c r="E33" s="555">
        <v>-0.18</v>
      </c>
    </row>
    <row r="34" spans="2:5" x14ac:dyDescent="0.25">
      <c r="B34" s="554" t="s">
        <v>441</v>
      </c>
      <c r="C34" s="556">
        <v>0.47</v>
      </c>
      <c r="D34" s="71">
        <v>60.5</v>
      </c>
      <c r="E34" s="558">
        <v>-0.24</v>
      </c>
    </row>
    <row r="35" spans="2:5" x14ac:dyDescent="0.25">
      <c r="B35" s="557" t="s">
        <v>442</v>
      </c>
      <c r="C35" s="562">
        <v>0.41</v>
      </c>
      <c r="D35" s="675">
        <v>53.5</v>
      </c>
      <c r="E35" s="559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SETUP-SHEET for 21T06 #709</vt:lpstr>
      <vt:lpstr>Setup_Log</vt:lpstr>
      <vt:lpstr>01_Aerodynamics</vt:lpstr>
      <vt:lpstr>02_3rd elements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cp:lastPrinted>2021-05-17T09:51:45Z</cp:lastPrinted>
  <dcterms:created xsi:type="dcterms:W3CDTF">2021-01-07T16:16:54Z</dcterms:created>
  <dcterms:modified xsi:type="dcterms:W3CDTF">2021-05-17T09:54:59Z</dcterms:modified>
</cp:coreProperties>
</file>