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.local\shares\P094\3_Product_Development\3.16_Virtual_Simulation\3.16.1_FEM\3.16.1.2_LoadCases\"/>
    </mc:Choice>
  </mc:AlternateContent>
  <xr:revisionPtr revIDLastSave="0" documentId="13_ncr:1_{B86B1C65-B3A6-42AE-B091-AAF8D3CA6594}" xr6:coauthVersionLast="47" xr6:coauthVersionMax="47" xr10:uidLastSave="{00000000-0000-0000-0000-000000000000}"/>
  <bookViews>
    <workbookView xWindow="-120" yWindow="-120" windowWidth="38640" windowHeight="15840" xr2:uid="{214B52F9-5571-4CD8-A1A3-998979F86292}"/>
  </bookViews>
  <sheets>
    <sheet name="V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M16" i="3" l="1"/>
  <c r="Q16" i="3" s="1"/>
  <c r="N16" i="3"/>
  <c r="P16" i="3" s="1"/>
  <c r="O16" i="3"/>
  <c r="R16" i="3" s="1"/>
  <c r="M17" i="3"/>
  <c r="Q17" i="3" s="1"/>
  <c r="N17" i="3"/>
  <c r="P17" i="3" s="1"/>
  <c r="O17" i="3"/>
  <c r="R17" i="3" s="1"/>
  <c r="M18" i="3"/>
  <c r="Q18" i="3" s="1"/>
  <c r="N18" i="3"/>
  <c r="P18" i="3" s="1"/>
  <c r="O18" i="3"/>
  <c r="R18" i="3" s="1"/>
  <c r="M19" i="3"/>
  <c r="Q19" i="3" s="1"/>
  <c r="N19" i="3"/>
  <c r="P19" i="3" s="1"/>
  <c r="O19" i="3"/>
  <c r="R19" i="3" s="1"/>
  <c r="M20" i="3"/>
  <c r="Q20" i="3" s="1"/>
  <c r="N20" i="3"/>
  <c r="P20" i="3" s="1"/>
  <c r="O20" i="3"/>
  <c r="R20" i="3" s="1"/>
  <c r="M21" i="3"/>
  <c r="Q21" i="3" s="1"/>
  <c r="N21" i="3"/>
  <c r="P21" i="3" s="1"/>
  <c r="O21" i="3"/>
  <c r="R21" i="3" s="1"/>
  <c r="I21" i="3"/>
  <c r="H21" i="3"/>
  <c r="F21" i="3"/>
  <c r="G21" i="3" s="1"/>
  <c r="S21" i="3" s="1"/>
  <c r="AC21" i="3" s="1"/>
  <c r="I20" i="3"/>
  <c r="H20" i="3"/>
  <c r="F20" i="3"/>
  <c r="G20" i="3" s="1"/>
  <c r="U20" i="3" s="1"/>
  <c r="AL20" i="3" s="1"/>
  <c r="I19" i="3"/>
  <c r="H19" i="3"/>
  <c r="F19" i="3"/>
  <c r="G19" i="3" s="1"/>
  <c r="S19" i="3" s="1"/>
  <c r="I18" i="3"/>
  <c r="H18" i="3"/>
  <c r="F18" i="3"/>
  <c r="G18" i="3" s="1"/>
  <c r="S18" i="3" s="1"/>
  <c r="AF18" i="3" s="1"/>
  <c r="I17" i="3"/>
  <c r="H17" i="3"/>
  <c r="F17" i="3"/>
  <c r="G17" i="3" s="1"/>
  <c r="S17" i="3" s="1"/>
  <c r="AF17" i="3" s="1"/>
  <c r="I16" i="3"/>
  <c r="H16" i="3"/>
  <c r="F16" i="3"/>
  <c r="G16" i="3" s="1"/>
  <c r="S16" i="3" s="1"/>
  <c r="AF16" i="3" s="1"/>
  <c r="AD20" i="3" l="1"/>
  <c r="AC18" i="3"/>
  <c r="T19" i="3"/>
  <c r="AI19" i="3" s="1"/>
  <c r="AF19" i="3"/>
  <c r="T21" i="3"/>
  <c r="AI21" i="3" s="1"/>
  <c r="AF21" i="3"/>
  <c r="AC16" i="3"/>
  <c r="AC17" i="3"/>
  <c r="AC19" i="3"/>
  <c r="X21" i="3"/>
  <c r="Z16" i="3"/>
  <c r="X16" i="3"/>
  <c r="Y21" i="3"/>
  <c r="U19" i="3"/>
  <c r="AL19" i="3" s="1"/>
  <c r="AA16" i="3"/>
  <c r="U21" i="3"/>
  <c r="Y17" i="3"/>
  <c r="S20" i="3"/>
  <c r="U16" i="3"/>
  <c r="V20" i="3"/>
  <c r="AO20" i="3" s="1"/>
  <c r="T16" i="3"/>
  <c r="AI16" i="3" s="1"/>
  <c r="T17" i="3"/>
  <c r="AI17" i="3" s="1"/>
  <c r="T18" i="3"/>
  <c r="AI18" i="3" s="1"/>
  <c r="Z21" i="3"/>
  <c r="Y19" i="3"/>
  <c r="U18" i="3"/>
  <c r="AA19" i="3"/>
  <c r="U17" i="3"/>
  <c r="Z19" i="3"/>
  <c r="AA21" i="3"/>
  <c r="Y16" i="3"/>
  <c r="X19" i="3"/>
  <c r="AA20" i="3"/>
  <c r="Y20" i="3"/>
  <c r="Z20" i="3"/>
  <c r="AB20" i="3"/>
  <c r="W18" i="3"/>
  <c r="X18" i="3"/>
  <c r="W20" i="3"/>
  <c r="X20" i="3"/>
  <c r="AB18" i="3"/>
  <c r="Y18" i="3"/>
  <c r="Z18" i="3"/>
  <c r="AA18" i="3"/>
  <c r="W17" i="3"/>
  <c r="X17" i="3"/>
  <c r="W21" i="3"/>
  <c r="W19" i="3"/>
  <c r="W16" i="3"/>
  <c r="AB17" i="3"/>
  <c r="AA17" i="3"/>
  <c r="AB21" i="3"/>
  <c r="AB19" i="3"/>
  <c r="Z17" i="3"/>
  <c r="AB16" i="3"/>
  <c r="AP16" i="3" l="1"/>
  <c r="AQ16" i="3"/>
  <c r="AH16" i="3"/>
  <c r="AG16" i="3"/>
  <c r="AM16" i="3"/>
  <c r="AN16" i="3"/>
  <c r="V21" i="3"/>
  <c r="AO21" i="3" s="1"/>
  <c r="AL21" i="3"/>
  <c r="AD21" i="3"/>
  <c r="AJ17" i="3"/>
  <c r="AK17" i="3"/>
  <c r="AH18" i="3"/>
  <c r="AG18" i="3"/>
  <c r="AP19" i="3"/>
  <c r="AQ19" i="3"/>
  <c r="AJ19" i="3"/>
  <c r="AK19" i="3"/>
  <c r="AQ17" i="3"/>
  <c r="AP17" i="3"/>
  <c r="AM18" i="3"/>
  <c r="AN18" i="3"/>
  <c r="AP20" i="3"/>
  <c r="AQ20" i="3"/>
  <c r="AL17" i="3"/>
  <c r="AD17" i="3"/>
  <c r="AM17" i="3"/>
  <c r="AN17" i="3"/>
  <c r="AK18" i="3"/>
  <c r="AJ18" i="3"/>
  <c r="AK20" i="3"/>
  <c r="AJ20" i="3"/>
  <c r="AM19" i="3"/>
  <c r="AN19" i="3"/>
  <c r="V16" i="3"/>
  <c r="AO16" i="3" s="1"/>
  <c r="AL16" i="3"/>
  <c r="AD16" i="3"/>
  <c r="AK16" i="3"/>
  <c r="AJ16" i="3"/>
  <c r="T20" i="3"/>
  <c r="AI20" i="3" s="1"/>
  <c r="AF20" i="3"/>
  <c r="AC20" i="3"/>
  <c r="AG20" i="3"/>
  <c r="AH20" i="3"/>
  <c r="AL18" i="3"/>
  <c r="AD18" i="3"/>
  <c r="AP18" i="3"/>
  <c r="AQ18" i="3"/>
  <c r="AN20" i="3"/>
  <c r="AM20" i="3"/>
  <c r="AG19" i="3"/>
  <c r="AH19" i="3"/>
  <c r="AG17" i="3"/>
  <c r="AH17" i="3"/>
  <c r="AM21" i="3"/>
  <c r="AN21" i="3"/>
  <c r="AJ21" i="3"/>
  <c r="AK21" i="3"/>
  <c r="AG21" i="3"/>
  <c r="AH21" i="3"/>
  <c r="AQ21" i="3"/>
  <c r="AP21" i="3"/>
  <c r="V19" i="3"/>
  <c r="AO19" i="3" s="1"/>
  <c r="AD19" i="3"/>
  <c r="V17" i="3"/>
  <c r="AO17" i="3" s="1"/>
  <c r="V18" i="3"/>
  <c r="AO18" i="3" s="1"/>
  <c r="Y25" i="3"/>
  <c r="Y23" i="3"/>
</calcChain>
</file>

<file path=xl/sharedStrings.xml><?xml version="1.0" encoding="utf-8"?>
<sst xmlns="http://schemas.openxmlformats.org/spreadsheetml/2006/main" count="115" uniqueCount="73">
  <si>
    <t>m</t>
  </si>
  <si>
    <t>kg</t>
  </si>
  <si>
    <t>Ixx</t>
  </si>
  <si>
    <t>kg*m^2</t>
  </si>
  <si>
    <t>Iyy</t>
  </si>
  <si>
    <t>Izz</t>
  </si>
  <si>
    <t>Case</t>
  </si>
  <si>
    <t>Mx</t>
  </si>
  <si>
    <t>My</t>
  </si>
  <si>
    <t>Mz</t>
  </si>
  <si>
    <t>Delta_Fz_FrontRear</t>
  </si>
  <si>
    <t>Delta_Fz_LeftRight</t>
  </si>
  <si>
    <t>[rad/s^2]</t>
  </si>
  <si>
    <t>[Nm]</t>
  </si>
  <si>
    <t>Wheelbase</t>
  </si>
  <si>
    <t>Track width</t>
  </si>
  <si>
    <t>[m/s^2]</t>
  </si>
  <si>
    <t>[N]</t>
  </si>
  <si>
    <t>Acc_X</t>
  </si>
  <si>
    <t>Acc_Y</t>
  </si>
  <si>
    <t>Fz_FL</t>
  </si>
  <si>
    <t>Fz_FR</t>
  </si>
  <si>
    <t>Fz_RL</t>
  </si>
  <si>
    <t>Fz_RR</t>
  </si>
  <si>
    <t>ratio</t>
  </si>
  <si>
    <t>Weight distribution front</t>
  </si>
  <si>
    <t>Delta_Fy_FrontRear</t>
  </si>
  <si>
    <t>CoG_Fy</t>
  </si>
  <si>
    <t>CoG_Fz</t>
  </si>
  <si>
    <t>Front brake balance</t>
  </si>
  <si>
    <t>Fx_FL</t>
  </si>
  <si>
    <t>Fx_FR</t>
  </si>
  <si>
    <t>Fx_RL</t>
  </si>
  <si>
    <t>Fx_RR</t>
  </si>
  <si>
    <t>*2 Mz assumed all produced by Fy</t>
  </si>
  <si>
    <t>*3 Peak acceleration values from "BootLap4" data log, with 5 samples moving average (~20Hz bandwidth), envelope of all accelerometer sensors installed</t>
  </si>
  <si>
    <t>Roll_Acc</t>
  </si>
  <si>
    <t>Pitch_Acc</t>
  </si>
  <si>
    <t>Yaw_Acc</t>
  </si>
  <si>
    <t>Log Time</t>
  </si>
  <si>
    <t>Mwheel_F</t>
  </si>
  <si>
    <t>Mwheel_R</t>
  </si>
  <si>
    <t>Wheels_Fx</t>
  </si>
  <si>
    <t>Acc_Z *4</t>
  </si>
  <si>
    <t>Drag Force *5</t>
  </si>
  <si>
    <t>*4 Measured +9.8 for static weight</t>
  </si>
  <si>
    <t>*5 10% of static weight for braking/lateral loadcases, 30% of static weight for acceleration loadcases: to be conservative in both cases</t>
  </si>
  <si>
    <t>Fy_Faxle *1</t>
  </si>
  <si>
    <t>Fy_Raxle</t>
  </si>
  <si>
    <t>*1 Fy assumed all on most loaded side</t>
  </si>
  <si>
    <t>h_CoG</t>
  </si>
  <si>
    <t>Lateral + Bump</t>
  </si>
  <si>
    <t>Brake + Bump</t>
  </si>
  <si>
    <t>Acceleration + Bump</t>
  </si>
  <si>
    <t>Front drive distribution</t>
  </si>
  <si>
    <t>Wheel rolling radius</t>
  </si>
  <si>
    <t>Front Lateral Bump</t>
  </si>
  <si>
    <t>Rear Lateral Bump</t>
  </si>
  <si>
    <t>+x opposite direction to car movement</t>
  </si>
  <si>
    <t>+y RHS of the driver</t>
  </si>
  <si>
    <t>+z upwards</t>
  </si>
  <si>
    <t>Fz</t>
  </si>
  <si>
    <t>Fx</t>
  </si>
  <si>
    <t>Fy</t>
  </si>
  <si>
    <t>FL Corner</t>
  </si>
  <si>
    <t>FR Corner</t>
  </si>
  <si>
    <t>RL Corner</t>
  </si>
  <si>
    <t>RR Corner</t>
  </si>
  <si>
    <t xml:space="preserve">X     </t>
  </si>
  <si>
    <t xml:space="preserve">  Y</t>
  </si>
  <si>
    <t xml:space="preserve">           Z</t>
  </si>
  <si>
    <t>CoG peak vertical acceleration</t>
  </si>
  <si>
    <t>*6 Peak bump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</si>
</sst>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1" fillId="2" borderId="5" xfId="1" applyBorder="1"/>
    <xf numFmtId="0" fontId="5" fillId="0" borderId="13" xfId="0" applyFont="1" applyBorder="1"/>
    <xf numFmtId="0" fontId="0" fillId="0" borderId="14" xfId="0" applyFont="1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3" fillId="3" borderId="6" xfId="3" applyBorder="1" applyAlignment="1">
      <alignment horizontal="center"/>
    </xf>
    <xf numFmtId="0" fontId="3" fillId="3" borderId="7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2" fillId="3" borderId="24" xfId="2" applyBorder="1" applyAlignment="1">
      <alignment horizontal="center"/>
    </xf>
    <xf numFmtId="0" fontId="0" fillId="0" borderId="7" xfId="0" applyBorder="1"/>
    <xf numFmtId="0" fontId="1" fillId="2" borderId="8" xfId="1" applyBorder="1"/>
    <xf numFmtId="0" fontId="0" fillId="0" borderId="9" xfId="0" applyFill="1" applyBorder="1"/>
    <xf numFmtId="0" fontId="1" fillId="2" borderId="10" xfId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/>
    <xf numFmtId="0" fontId="6" fillId="4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64" fontId="0" fillId="5" borderId="21" xfId="0" applyNumberFormat="1" applyFill="1" applyBorder="1" applyAlignment="1">
      <alignment horizontal="center"/>
    </xf>
    <xf numFmtId="0" fontId="2" fillId="3" borderId="25" xfId="2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0" fillId="6" borderId="19" xfId="0" applyFont="1" applyFill="1" applyBorder="1"/>
    <xf numFmtId="164" fontId="0" fillId="6" borderId="20" xfId="0" applyNumberFormat="1" applyFill="1" applyBorder="1" applyAlignment="1">
      <alignment horizontal="center"/>
    </xf>
    <xf numFmtId="164" fontId="0" fillId="6" borderId="21" xfId="0" applyNumberFormat="1" applyFill="1" applyBorder="1" applyAlignment="1">
      <alignment horizontal="center"/>
    </xf>
    <xf numFmtId="1" fontId="0" fillId="6" borderId="21" xfId="0" applyNumberFormat="1" applyFill="1" applyBorder="1" applyAlignment="1">
      <alignment horizontal="center"/>
    </xf>
    <xf numFmtId="1" fontId="6" fillId="6" borderId="3" xfId="0" applyNumberFormat="1" applyFont="1" applyFill="1" applyBorder="1" applyAlignment="1">
      <alignment horizontal="center"/>
    </xf>
    <xf numFmtId="1" fontId="6" fillId="6" borderId="9" xfId="0" applyNumberFormat="1" applyFon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6" borderId="8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/>
    </xf>
    <xf numFmtId="0" fontId="4" fillId="0" borderId="0" xfId="0" applyFont="1"/>
    <xf numFmtId="0" fontId="0" fillId="7" borderId="19" xfId="0" applyFont="1" applyFill="1" applyBorder="1"/>
    <xf numFmtId="164" fontId="0" fillId="7" borderId="20" xfId="0" applyNumberFormat="1" applyFill="1" applyBorder="1" applyAlignment="1">
      <alignment horizontal="center"/>
    </xf>
    <xf numFmtId="164" fontId="0" fillId="7" borderId="21" xfId="0" applyNumberFormat="1" applyFill="1" applyBorder="1" applyAlignment="1">
      <alignment horizontal="center"/>
    </xf>
    <xf numFmtId="1" fontId="0" fillId="7" borderId="21" xfId="0" applyNumberFormat="1" applyFill="1" applyBorder="1" applyAlignment="1">
      <alignment horizontal="center"/>
    </xf>
    <xf numFmtId="1" fontId="6" fillId="7" borderId="3" xfId="0" applyNumberFormat="1" applyFont="1" applyFill="1" applyBorder="1" applyAlignment="1">
      <alignment horizontal="center"/>
    </xf>
    <xf numFmtId="1" fontId="6" fillId="7" borderId="9" xfId="0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0" fillId="7" borderId="8" xfId="0" applyNumberFormat="1" applyFill="1" applyBorder="1" applyAlignment="1">
      <alignment horizontal="center"/>
    </xf>
    <xf numFmtId="1" fontId="4" fillId="7" borderId="8" xfId="0" applyNumberFormat="1" applyFont="1" applyFill="1" applyBorder="1" applyAlignment="1">
      <alignment horizontal="center"/>
    </xf>
    <xf numFmtId="1" fontId="4" fillId="7" borderId="3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164" fontId="0" fillId="8" borderId="21" xfId="0" applyNumberFormat="1" applyFill="1" applyBorder="1" applyAlignment="1">
      <alignment horizontal="center"/>
    </xf>
    <xf numFmtId="1" fontId="0" fillId="8" borderId="21" xfId="0" applyNumberFormat="1" applyFill="1" applyBorder="1" applyAlignment="1">
      <alignment horizontal="center"/>
    </xf>
    <xf numFmtId="1" fontId="6" fillId="8" borderId="3" xfId="0" applyNumberFormat="1" applyFont="1" applyFill="1" applyBorder="1" applyAlignment="1">
      <alignment horizontal="center"/>
    </xf>
    <xf numFmtId="1" fontId="6" fillId="8" borderId="9" xfId="0" applyNumberFormat="1" applyFont="1" applyFill="1" applyBorder="1" applyAlignment="1">
      <alignment horizontal="center"/>
    </xf>
    <xf numFmtId="164" fontId="0" fillId="8" borderId="20" xfId="0" applyNumberFormat="1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1" fontId="0" fillId="8" borderId="9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1" fontId="4" fillId="8" borderId="8" xfId="0" applyNumberFormat="1" applyFont="1" applyFill="1" applyBorder="1" applyAlignment="1">
      <alignment horizontal="center"/>
    </xf>
    <xf numFmtId="1" fontId="4" fillId="8" borderId="3" xfId="0" applyNumberFormat="1" applyFont="1" applyFill="1" applyBorder="1" applyAlignment="1">
      <alignment horizontal="center"/>
    </xf>
    <xf numFmtId="1" fontId="0" fillId="8" borderId="4" xfId="0" applyNumberFormat="1" applyFill="1" applyBorder="1" applyAlignment="1">
      <alignment horizontal="center"/>
    </xf>
    <xf numFmtId="0" fontId="0" fillId="8" borderId="19" xfId="0" applyFont="1" applyFill="1" applyBorder="1"/>
    <xf numFmtId="164" fontId="0" fillId="9" borderId="10" xfId="0" applyNumberFormat="1" applyFill="1" applyBorder="1" applyAlignment="1">
      <alignment horizontal="center"/>
    </xf>
    <xf numFmtId="164" fontId="0" fillId="9" borderId="11" xfId="0" applyNumberFormat="1" applyFill="1" applyBorder="1" applyAlignment="1">
      <alignment horizontal="center"/>
    </xf>
    <xf numFmtId="1" fontId="0" fillId="9" borderId="11" xfId="0" applyNumberFormat="1" applyFill="1" applyBorder="1" applyAlignment="1">
      <alignment horizontal="center"/>
    </xf>
    <xf numFmtId="1" fontId="6" fillId="9" borderId="11" xfId="0" applyNumberFormat="1" applyFont="1" applyFill="1" applyBorder="1" applyAlignment="1">
      <alignment horizontal="center"/>
    </xf>
    <xf numFmtId="1" fontId="6" fillId="9" borderId="12" xfId="0" applyNumberFormat="1" applyFon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1" fontId="4" fillId="9" borderId="10" xfId="0" applyNumberFormat="1" applyFont="1" applyFill="1" applyBorder="1" applyAlignment="1">
      <alignment horizontal="center"/>
    </xf>
    <xf numFmtId="1" fontId="4" fillId="9" borderId="11" xfId="0" applyNumberFormat="1" applyFont="1" applyFill="1" applyBorder="1" applyAlignment="1">
      <alignment horizontal="center"/>
    </xf>
    <xf numFmtId="1" fontId="0" fillId="9" borderId="26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1" fillId="2" borderId="27" xfId="1" applyBorder="1"/>
    <xf numFmtId="0" fontId="0" fillId="0" borderId="31" xfId="0" applyBorder="1"/>
    <xf numFmtId="164" fontId="0" fillId="0" borderId="3" xfId="0" applyNumberForma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0" fontId="4" fillId="9" borderId="15" xfId="0" applyFont="1" applyFill="1" applyBorder="1"/>
    <xf numFmtId="0" fontId="0" fillId="0" borderId="0" xfId="0" quotePrefix="1"/>
    <xf numFmtId="0" fontId="2" fillId="3" borderId="0" xfId="2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1" fillId="2" borderId="33" xfId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2" fontId="0" fillId="9" borderId="26" xfId="0" applyNumberFormat="1" applyFill="1" applyBorder="1" applyAlignment="1">
      <alignment horizontal="center"/>
    </xf>
    <xf numFmtId="0" fontId="2" fillId="3" borderId="37" xfId="2" applyBorder="1" applyAlignment="1">
      <alignment horizontal="center"/>
    </xf>
    <xf numFmtId="0" fontId="2" fillId="3" borderId="38" xfId="2" applyBorder="1" applyAlignment="1">
      <alignment horizontal="center"/>
    </xf>
    <xf numFmtId="1" fontId="0" fillId="0" borderId="3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8" xfId="0" applyNumberFormat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0" borderId="40" xfId="0" applyNumberFormat="1" applyBorder="1" applyAlignment="1">
      <alignment horizontal="center"/>
    </xf>
    <xf numFmtId="1" fontId="0" fillId="0" borderId="41" xfId="0" applyNumberFormat="1" applyBorder="1" applyAlignment="1">
      <alignment horizontal="center"/>
    </xf>
    <xf numFmtId="0" fontId="8" fillId="10" borderId="34" xfId="0" applyFont="1" applyFill="1" applyBorder="1" applyAlignment="1">
      <alignment horizontal="center"/>
    </xf>
    <xf numFmtId="0" fontId="8" fillId="10" borderId="35" xfId="0" applyFont="1" applyFill="1" applyBorder="1"/>
    <xf numFmtId="0" fontId="8" fillId="10" borderId="36" xfId="0" applyFont="1" applyFill="1" applyBorder="1"/>
    <xf numFmtId="0" fontId="8" fillId="10" borderId="34" xfId="0" applyFont="1" applyFill="1" applyBorder="1"/>
    <xf numFmtId="0" fontId="0" fillId="0" borderId="0" xfId="0" applyAlignment="1">
      <alignment horizontal="right"/>
    </xf>
    <xf numFmtId="164" fontId="4" fillId="5" borderId="28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1" fontId="4" fillId="5" borderId="3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" fontId="0" fillId="0" borderId="0" xfId="0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833437</xdr:colOff>
      <xdr:row>1</xdr:row>
      <xdr:rowOff>3636</xdr:rowOff>
    </xdr:from>
    <xdr:to>
      <xdr:col>11</xdr:col>
      <xdr:colOff>559593</xdr:colOff>
      <xdr:row>11</xdr:row>
      <xdr:rowOff>166688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6489141-190A-4BFC-92C3-BE2D171FC8F4}"/>
            </a:ext>
          </a:extLst>
        </xdr:cNvPr>
        <xdr:cNvGrpSpPr/>
      </xdr:nvGrpSpPr>
      <xdr:grpSpPr>
        <a:xfrm>
          <a:off x="9652466" y="205342"/>
          <a:ext cx="1530303" cy="2068052"/>
          <a:chOff x="9642420" y="200705"/>
          <a:chExt cx="1526052" cy="2068052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66E19CE1-3866-4F76-8E03-75ED5D200310}"/>
              </a:ext>
            </a:extLst>
          </xdr:cNvPr>
          <xdr:cNvGrpSpPr/>
        </xdr:nvGrpSpPr>
        <xdr:grpSpPr>
          <a:xfrm>
            <a:off x="9642420" y="200705"/>
            <a:ext cx="1526052" cy="2068052"/>
            <a:chOff x="9642420" y="197069"/>
            <a:chExt cx="1526052" cy="2071688"/>
          </a:xfrm>
        </xdr:grpSpPr>
        <xdr:sp macro="" textlink="">
          <xdr:nvSpPr>
            <xdr:cNvPr id="9" name="Arrow: Down 8">
              <a:extLst>
                <a:ext uri="{FF2B5EF4-FFF2-40B4-BE49-F238E27FC236}">
                  <a16:creationId xmlns:a16="http://schemas.microsoft.com/office/drawing/2014/main" id="{BC0C4845-9DBD-4FC4-BE62-400E2E3AE333}"/>
                </a:ext>
              </a:extLst>
            </xdr:cNvPr>
            <xdr:cNvSpPr/>
          </xdr:nvSpPr>
          <xdr:spPr>
            <a:xfrm rot="10800000">
              <a:off x="9642420" y="197069"/>
              <a:ext cx="1526052" cy="2071688"/>
            </a:xfrm>
            <a:prstGeom prst="downArrow">
              <a:avLst/>
            </a:prstGeom>
            <a:noFill/>
            <a:ln w="1905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cxnSp macro="">
          <xdr:nvCxnSpPr>
            <xdr:cNvPr id="3" name="Straight Arrow Connector 2">
              <a:extLst>
                <a:ext uri="{FF2B5EF4-FFF2-40B4-BE49-F238E27FC236}">
                  <a16:creationId xmlns:a16="http://schemas.microsoft.com/office/drawing/2014/main" id="{1A99F808-00B4-4767-8AC7-90C1595BB2B2}"/>
                </a:ext>
              </a:extLst>
            </xdr:cNvPr>
            <xdr:cNvCxnSpPr/>
          </xdr:nvCxnSpPr>
          <xdr:spPr>
            <a:xfrm>
              <a:off x="10215563" y="685222"/>
              <a:ext cx="0" cy="125015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Straight Arrow Connector 3">
              <a:extLst>
                <a:ext uri="{FF2B5EF4-FFF2-40B4-BE49-F238E27FC236}">
                  <a16:creationId xmlns:a16="http://schemas.microsoft.com/office/drawing/2014/main" id="{2A5ECB30-501B-42B8-801A-42D54FFF01B1}"/>
                </a:ext>
              </a:extLst>
            </xdr:cNvPr>
            <xdr:cNvCxnSpPr/>
          </xdr:nvCxnSpPr>
          <xdr:spPr>
            <a:xfrm flipV="1">
              <a:off x="9977438" y="861349"/>
              <a:ext cx="955342" cy="246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Arrow: Circular 14">
            <a:extLst>
              <a:ext uri="{FF2B5EF4-FFF2-40B4-BE49-F238E27FC236}">
                <a16:creationId xmlns:a16="http://schemas.microsoft.com/office/drawing/2014/main" id="{D8430AEA-67B3-4BD7-9F27-553D3330FA1E}"/>
              </a:ext>
            </a:extLst>
          </xdr:cNvPr>
          <xdr:cNvSpPr/>
        </xdr:nvSpPr>
        <xdr:spPr>
          <a:xfrm rot="16200000" flipV="1">
            <a:off x="10033900" y="712642"/>
            <a:ext cx="256128" cy="309824"/>
          </a:xfrm>
          <a:prstGeom prst="circularArrow">
            <a:avLst>
              <a:gd name="adj1" fmla="val 12500"/>
              <a:gd name="adj2" fmla="val 1297809"/>
              <a:gd name="adj3" fmla="val 20457681"/>
              <a:gd name="adj4" fmla="val 10800000"/>
              <a:gd name="adj5" fmla="val 1250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ECE5-420A-44A9-B20D-41257E4D4896}">
  <dimension ref="A1:AR28"/>
  <sheetViews>
    <sheetView showGridLines="0" tabSelected="1" zoomScale="85" zoomScaleNormal="85" workbookViewId="0"/>
  </sheetViews>
  <sheetFormatPr defaultRowHeight="15" x14ac:dyDescent="0.25"/>
  <cols>
    <col min="1" max="1" width="3.7109375" customWidth="1"/>
    <col min="2" max="2" width="34.140625" customWidth="1"/>
    <col min="3" max="3" width="13.5703125" bestFit="1" customWidth="1"/>
    <col min="4" max="5" width="13.42578125" bestFit="1" customWidth="1"/>
    <col min="6" max="6" width="13.42578125" customWidth="1"/>
    <col min="7" max="7" width="13.5703125" bestFit="1" customWidth="1"/>
    <col min="8" max="9" width="13.42578125" bestFit="1" customWidth="1"/>
    <col min="10" max="10" width="13.5703125" bestFit="1" customWidth="1"/>
    <col min="11" max="12" width="13.42578125" bestFit="1" customWidth="1"/>
    <col min="13" max="15" width="9" customWidth="1"/>
    <col min="16" max="16" width="18.5703125" bestFit="1" customWidth="1"/>
    <col min="17" max="17" width="17.85546875" bestFit="1" customWidth="1"/>
    <col min="18" max="18" width="18.5703125" bestFit="1" customWidth="1"/>
    <col min="23" max="23" width="11.28515625" bestFit="1" customWidth="1"/>
    <col min="24" max="24" width="9.7109375" customWidth="1"/>
    <col min="29" max="30" width="11" customWidth="1"/>
    <col min="31" max="31" width="9.140625" style="1"/>
  </cols>
  <sheetData>
    <row r="1" spans="1:43" ht="15.75" thickBot="1" x14ac:dyDescent="0.3"/>
    <row r="2" spans="1:43" x14ac:dyDescent="0.25">
      <c r="B2" s="3" t="s">
        <v>0</v>
      </c>
      <c r="C2" s="118">
        <v>4200</v>
      </c>
      <c r="D2" s="22" t="s">
        <v>1</v>
      </c>
      <c r="F2" s="95" t="s">
        <v>58</v>
      </c>
    </row>
    <row r="3" spans="1:43" x14ac:dyDescent="0.25">
      <c r="B3" s="90" t="s">
        <v>50</v>
      </c>
      <c r="C3" s="117">
        <v>1</v>
      </c>
      <c r="D3" s="91" t="s">
        <v>0</v>
      </c>
      <c r="F3" s="95" t="s">
        <v>59</v>
      </c>
    </row>
    <row r="4" spans="1:43" x14ac:dyDescent="0.25">
      <c r="B4" s="23" t="s">
        <v>2</v>
      </c>
      <c r="C4" s="119">
        <f>2256/3800*4200</f>
        <v>2493.4736842105262</v>
      </c>
      <c r="D4" s="2" t="s">
        <v>3</v>
      </c>
      <c r="F4" s="95" t="s">
        <v>60</v>
      </c>
      <c r="L4" t="s">
        <v>69</v>
      </c>
    </row>
    <row r="5" spans="1:43" x14ac:dyDescent="0.25">
      <c r="B5" s="23" t="s">
        <v>4</v>
      </c>
      <c r="C5" s="119">
        <f>4736/3800*4200</f>
        <v>5234.5263157894742</v>
      </c>
      <c r="D5" s="2" t="s">
        <v>3</v>
      </c>
      <c r="K5" t="s">
        <v>70</v>
      </c>
    </row>
    <row r="6" spans="1:43" x14ac:dyDescent="0.25">
      <c r="B6" s="23" t="s">
        <v>5</v>
      </c>
      <c r="C6" s="119">
        <f>5270/3800*4200</f>
        <v>5824.7368421052633</v>
      </c>
      <c r="D6" s="2" t="s">
        <v>3</v>
      </c>
    </row>
    <row r="7" spans="1:43" x14ac:dyDescent="0.25">
      <c r="B7" s="23" t="s">
        <v>14</v>
      </c>
      <c r="C7" s="12">
        <v>3.5</v>
      </c>
      <c r="D7" s="2" t="s">
        <v>0</v>
      </c>
    </row>
    <row r="8" spans="1:43" x14ac:dyDescent="0.25">
      <c r="B8" s="23" t="s">
        <v>15</v>
      </c>
      <c r="C8" s="12">
        <v>2.1</v>
      </c>
      <c r="D8" s="2" t="s">
        <v>0</v>
      </c>
    </row>
    <row r="9" spans="1:43" x14ac:dyDescent="0.25">
      <c r="B9" s="23" t="s">
        <v>25</v>
      </c>
      <c r="C9" s="120">
        <v>0.44</v>
      </c>
      <c r="D9" s="2" t="s">
        <v>24</v>
      </c>
    </row>
    <row r="10" spans="1:43" x14ac:dyDescent="0.25">
      <c r="B10" s="23" t="s">
        <v>55</v>
      </c>
      <c r="C10" s="12">
        <v>0.48</v>
      </c>
      <c r="D10" s="2" t="s">
        <v>0</v>
      </c>
      <c r="K10" s="116" t="s">
        <v>68</v>
      </c>
    </row>
    <row r="11" spans="1:43" x14ac:dyDescent="0.25">
      <c r="B11" s="23" t="s">
        <v>54</v>
      </c>
      <c r="C11" s="18">
        <v>0.35</v>
      </c>
      <c r="D11" s="24" t="s">
        <v>24</v>
      </c>
    </row>
    <row r="12" spans="1:43" ht="15.75" thickBot="1" x14ac:dyDescent="0.3">
      <c r="B12" s="25" t="s">
        <v>29</v>
      </c>
      <c r="C12" s="26">
        <v>0.6</v>
      </c>
      <c r="D12" s="27" t="s">
        <v>24</v>
      </c>
    </row>
    <row r="13" spans="1:43" ht="15.75" thickBot="1" x14ac:dyDescent="0.3"/>
    <row r="14" spans="1:43" ht="15.75" thickBot="1" x14ac:dyDescent="0.3">
      <c r="C14" s="28" t="s">
        <v>16</v>
      </c>
      <c r="D14" s="29" t="s">
        <v>16</v>
      </c>
      <c r="E14" s="29" t="s">
        <v>16</v>
      </c>
      <c r="F14" s="29" t="s">
        <v>17</v>
      </c>
      <c r="G14" s="29" t="s">
        <v>17</v>
      </c>
      <c r="H14" s="29" t="s">
        <v>17</v>
      </c>
      <c r="I14" s="30" t="s">
        <v>17</v>
      </c>
      <c r="J14" s="28" t="s">
        <v>12</v>
      </c>
      <c r="K14" s="29" t="s">
        <v>12</v>
      </c>
      <c r="L14" s="29" t="s">
        <v>12</v>
      </c>
      <c r="M14" s="29" t="s">
        <v>13</v>
      </c>
      <c r="N14" s="29" t="s">
        <v>13</v>
      </c>
      <c r="O14" s="29" t="s">
        <v>13</v>
      </c>
      <c r="P14" s="29" t="s">
        <v>17</v>
      </c>
      <c r="Q14" s="29" t="s">
        <v>17</v>
      </c>
      <c r="R14" s="30" t="s">
        <v>17</v>
      </c>
      <c r="S14" s="28" t="s">
        <v>17</v>
      </c>
      <c r="T14" s="29" t="s">
        <v>17</v>
      </c>
      <c r="U14" s="29" t="s">
        <v>17</v>
      </c>
      <c r="V14" s="30" t="s">
        <v>17</v>
      </c>
      <c r="W14" s="28" t="s">
        <v>17</v>
      </c>
      <c r="X14" s="29" t="s">
        <v>17</v>
      </c>
      <c r="Y14" s="28" t="s">
        <v>17</v>
      </c>
      <c r="Z14" s="29" t="s">
        <v>17</v>
      </c>
      <c r="AA14" s="29" t="s">
        <v>17</v>
      </c>
      <c r="AB14" s="29" t="s">
        <v>17</v>
      </c>
      <c r="AC14" s="36" t="s">
        <v>13</v>
      </c>
      <c r="AD14" s="37" t="s">
        <v>13</v>
      </c>
      <c r="AE14" s="97" t="s">
        <v>13</v>
      </c>
      <c r="AF14" s="112" t="s">
        <v>64</v>
      </c>
      <c r="AG14" s="113"/>
      <c r="AH14" s="114"/>
      <c r="AI14" s="112" t="s">
        <v>65</v>
      </c>
      <c r="AJ14" s="113"/>
      <c r="AK14" s="114"/>
      <c r="AL14" s="115" t="s">
        <v>66</v>
      </c>
      <c r="AM14" s="113"/>
      <c r="AN14" s="114"/>
      <c r="AO14" s="115" t="s">
        <v>67</v>
      </c>
      <c r="AP14" s="113"/>
      <c r="AQ14" s="114"/>
    </row>
    <row r="15" spans="1:43" x14ac:dyDescent="0.25">
      <c r="B15" s="4" t="s">
        <v>6</v>
      </c>
      <c r="C15" s="6" t="s">
        <v>18</v>
      </c>
      <c r="D15" s="7" t="s">
        <v>19</v>
      </c>
      <c r="E15" s="7" t="s">
        <v>43</v>
      </c>
      <c r="F15" s="7" t="s">
        <v>44</v>
      </c>
      <c r="G15" s="8" t="s">
        <v>42</v>
      </c>
      <c r="H15" s="8" t="s">
        <v>27</v>
      </c>
      <c r="I15" s="9" t="s">
        <v>28</v>
      </c>
      <c r="J15" s="6" t="s">
        <v>36</v>
      </c>
      <c r="K15" s="7" t="s">
        <v>37</v>
      </c>
      <c r="L15" s="7" t="s">
        <v>38</v>
      </c>
      <c r="M15" s="8" t="s">
        <v>7</v>
      </c>
      <c r="N15" s="8" t="s">
        <v>8</v>
      </c>
      <c r="O15" s="8" t="s">
        <v>9</v>
      </c>
      <c r="P15" s="8" t="s">
        <v>10</v>
      </c>
      <c r="Q15" s="8" t="s">
        <v>11</v>
      </c>
      <c r="R15" s="9" t="s">
        <v>26</v>
      </c>
      <c r="S15" s="19" t="s">
        <v>30</v>
      </c>
      <c r="T15" s="20" t="s">
        <v>31</v>
      </c>
      <c r="U15" s="20" t="s">
        <v>32</v>
      </c>
      <c r="V15" s="21" t="s">
        <v>33</v>
      </c>
      <c r="W15" s="10" t="s">
        <v>47</v>
      </c>
      <c r="X15" s="11" t="s">
        <v>48</v>
      </c>
      <c r="Y15" s="10" t="s">
        <v>20</v>
      </c>
      <c r="Z15" s="11" t="s">
        <v>21</v>
      </c>
      <c r="AA15" s="11" t="s">
        <v>22</v>
      </c>
      <c r="AB15" s="34" t="s">
        <v>23</v>
      </c>
      <c r="AC15" s="10" t="s">
        <v>40</v>
      </c>
      <c r="AD15" s="11" t="s">
        <v>41</v>
      </c>
      <c r="AE15" s="98" t="s">
        <v>39</v>
      </c>
      <c r="AF15" s="104" t="s">
        <v>62</v>
      </c>
      <c r="AG15" s="96" t="s">
        <v>63</v>
      </c>
      <c r="AH15" s="105" t="s">
        <v>61</v>
      </c>
      <c r="AI15" s="104" t="s">
        <v>62</v>
      </c>
      <c r="AJ15" s="96" t="s">
        <v>63</v>
      </c>
      <c r="AK15" s="105" t="s">
        <v>61</v>
      </c>
      <c r="AL15" s="104" t="s">
        <v>62</v>
      </c>
      <c r="AM15" s="96" t="s">
        <v>63</v>
      </c>
      <c r="AN15" s="105" t="s">
        <v>61</v>
      </c>
      <c r="AO15" s="104" t="s">
        <v>62</v>
      </c>
      <c r="AP15" s="96" t="s">
        <v>63</v>
      </c>
      <c r="AQ15" s="105" t="s">
        <v>61</v>
      </c>
    </row>
    <row r="16" spans="1:43" x14ac:dyDescent="0.25">
      <c r="A16">
        <v>1</v>
      </c>
      <c r="B16" s="5" t="s">
        <v>56</v>
      </c>
      <c r="C16" s="14"/>
      <c r="D16" s="16"/>
      <c r="E16" s="89">
        <v>30</v>
      </c>
      <c r="F16" s="13">
        <f t="shared" ref="F16:F17" si="0">0.1*$C$2*9.81</f>
        <v>4120.2</v>
      </c>
      <c r="G16" s="31">
        <f t="shared" ref="G16:G21" si="1">C16*$C$2-F16</f>
        <v>-4120.2</v>
      </c>
      <c r="H16" s="31">
        <f t="shared" ref="H16:I21" si="2">D16*$C$2</f>
        <v>0</v>
      </c>
      <c r="I16" s="32">
        <f t="shared" si="2"/>
        <v>126000</v>
      </c>
      <c r="J16" s="88">
        <v>-35</v>
      </c>
      <c r="K16" s="89">
        <v>45</v>
      </c>
      <c r="L16" s="92"/>
      <c r="M16" s="13">
        <f t="shared" ref="M16:M21" si="3">$C$4*J16</f>
        <v>-87271.578947368413</v>
      </c>
      <c r="N16" s="13">
        <f t="shared" ref="N16:N21" si="4">$C$5*K16</f>
        <v>235553.68421052635</v>
      </c>
      <c r="O16" s="13">
        <f t="shared" ref="O16:O21" si="5">$C$6*L16</f>
        <v>0</v>
      </c>
      <c r="P16" s="13">
        <f t="shared" ref="P16:P21" si="6">N16/$C$7+$C$2*C16*$C$3/$C$7</f>
        <v>67301.052631578961</v>
      </c>
      <c r="Q16" s="13">
        <f t="shared" ref="Q16:Q21" si="7">M16/$C$8+$C$2*D16*$C$3/$C$8</f>
        <v>-41557.8947368421</v>
      </c>
      <c r="R16" s="17">
        <f t="shared" ref="R16:R21" si="8">O16/$C$7</f>
        <v>0</v>
      </c>
      <c r="S16" s="15">
        <f t="shared" ref="S16:S21" si="9">IF($G16&gt;0,$G16*$C$11/2,$G16*$C$10/2)</f>
        <v>-988.84799999999996</v>
      </c>
      <c r="T16" s="13">
        <f t="shared" ref="T16:T21" si="10">S16</f>
        <v>-988.84799999999996</v>
      </c>
      <c r="U16" s="13">
        <f t="shared" ref="U16:U21" si="11">IF($G16&gt;0,$G16*(1-$C$11)/2,$G16*(1-$C$10)/2)</f>
        <v>-1071.252</v>
      </c>
      <c r="V16" s="17">
        <f t="shared" ref="V16:V21" si="12">U16</f>
        <v>-1071.252</v>
      </c>
      <c r="W16" s="49">
        <f t="shared" ref="W16:W21" si="13">H16*$C$9+R16*$C$9</f>
        <v>0</v>
      </c>
      <c r="X16" s="50">
        <f t="shared" ref="X16:X21" si="14">H16*(1-$C$9)-R16*(1-$C$9)</f>
        <v>0</v>
      </c>
      <c r="Y16" s="15">
        <f t="shared" ref="Y16:Y21" si="15">$I16*$C$9/2+$P16/4-$Q16/4</f>
        <v>54934.736842105267</v>
      </c>
      <c r="Z16" s="13">
        <f t="shared" ref="Z16:Z21" si="16">$I16*$C$9/2+$P16/4+$Q16/4</f>
        <v>34155.789473684214</v>
      </c>
      <c r="AA16" s="13">
        <f t="shared" ref="AA16:AA21" si="17">$I16*(1-$C$9)/2-$P16/4-$Q16/4</f>
        <v>28844.210526315786</v>
      </c>
      <c r="AB16" s="35">
        <f t="shared" ref="AB16:AB21" si="18">$I16*(1-$C$9)/2-$P16/4+$Q16/4</f>
        <v>8065.2631578947348</v>
      </c>
      <c r="AC16" s="15">
        <f>S16*$C$10</f>
        <v>-474.64703999999995</v>
      </c>
      <c r="AD16" s="13">
        <f>U16*$C$10</f>
        <v>-514.20096000000001</v>
      </c>
      <c r="AE16" s="99">
        <v>691.85</v>
      </c>
      <c r="AF16" s="106">
        <f>S16</f>
        <v>-988.84799999999996</v>
      </c>
      <c r="AG16" s="107">
        <f>IF(Y16&gt;Z16,W16,0)</f>
        <v>0</v>
      </c>
      <c r="AH16" s="108">
        <f>Y16</f>
        <v>54934.736842105267</v>
      </c>
      <c r="AI16" s="106">
        <f>T16</f>
        <v>-988.84799999999996</v>
      </c>
      <c r="AJ16" s="107">
        <f>IF(Z16&gt;Y16,W16,0)</f>
        <v>0</v>
      </c>
      <c r="AK16" s="108">
        <f>Z16</f>
        <v>34155.789473684214</v>
      </c>
      <c r="AL16" s="106">
        <f>U16</f>
        <v>-1071.252</v>
      </c>
      <c r="AM16" s="107">
        <f>IF(AA16&gt;AB16,X16,0)</f>
        <v>0</v>
      </c>
      <c r="AN16" s="108">
        <f>AA16</f>
        <v>28844.210526315786</v>
      </c>
      <c r="AO16" s="106">
        <f>V16</f>
        <v>-1071.252</v>
      </c>
      <c r="AP16" s="107">
        <f>IF(AB16&gt;AA16,X16,0)</f>
        <v>0</v>
      </c>
      <c r="AQ16" s="108">
        <f>AB16</f>
        <v>8065.2631578947348</v>
      </c>
    </row>
    <row r="17" spans="1:44" x14ac:dyDescent="0.25">
      <c r="A17">
        <v>2</v>
      </c>
      <c r="B17" s="5" t="s">
        <v>57</v>
      </c>
      <c r="C17" s="14"/>
      <c r="D17" s="16"/>
      <c r="E17" s="89">
        <v>35</v>
      </c>
      <c r="F17" s="13">
        <f t="shared" si="0"/>
        <v>4120.2</v>
      </c>
      <c r="G17" s="31">
        <f t="shared" si="1"/>
        <v>-4120.2</v>
      </c>
      <c r="H17" s="31">
        <f t="shared" si="2"/>
        <v>0</v>
      </c>
      <c r="I17" s="32">
        <f t="shared" si="2"/>
        <v>147000</v>
      </c>
      <c r="J17" s="88">
        <v>40</v>
      </c>
      <c r="K17" s="89">
        <v>-75</v>
      </c>
      <c r="L17" s="92"/>
      <c r="M17" s="13">
        <f t="shared" si="3"/>
        <v>99738.947368421053</v>
      </c>
      <c r="N17" s="13">
        <f t="shared" si="4"/>
        <v>-392589.47368421056</v>
      </c>
      <c r="O17" s="13">
        <f t="shared" si="5"/>
        <v>0</v>
      </c>
      <c r="P17" s="13">
        <f t="shared" si="6"/>
        <v>-112168.42105263159</v>
      </c>
      <c r="Q17" s="13">
        <f t="shared" si="7"/>
        <v>47494.73684210526</v>
      </c>
      <c r="R17" s="17">
        <f t="shared" si="8"/>
        <v>0</v>
      </c>
      <c r="S17" s="15">
        <f t="shared" si="9"/>
        <v>-988.84799999999996</v>
      </c>
      <c r="T17" s="13">
        <f t="shared" si="10"/>
        <v>-988.84799999999996</v>
      </c>
      <c r="U17" s="13">
        <f t="shared" si="11"/>
        <v>-1071.252</v>
      </c>
      <c r="V17" s="17">
        <f t="shared" si="12"/>
        <v>-1071.252</v>
      </c>
      <c r="W17" s="49">
        <f t="shared" si="13"/>
        <v>0</v>
      </c>
      <c r="X17" s="50">
        <f t="shared" si="14"/>
        <v>0</v>
      </c>
      <c r="Y17" s="15">
        <f t="shared" si="15"/>
        <v>-7575.7894736842118</v>
      </c>
      <c r="Z17" s="13">
        <f t="shared" si="16"/>
        <v>16171.578947368418</v>
      </c>
      <c r="AA17" s="13">
        <f t="shared" si="17"/>
        <v>57328.421052631595</v>
      </c>
      <c r="AB17" s="35">
        <f t="shared" si="18"/>
        <v>81075.789473684228</v>
      </c>
      <c r="AC17" s="15">
        <f t="shared" ref="AC17:AC21" si="19">S17*$C$10</f>
        <v>-474.64703999999995</v>
      </c>
      <c r="AD17" s="13">
        <f t="shared" ref="AD17:AD21" si="20">U17*$C$10</f>
        <v>-514.20096000000001</v>
      </c>
      <c r="AE17" s="99">
        <v>692</v>
      </c>
      <c r="AF17" s="106">
        <f t="shared" ref="AF17:AF21" si="21">S17</f>
        <v>-988.84799999999996</v>
      </c>
      <c r="AG17" s="107">
        <f t="shared" ref="AG17:AG21" si="22">IF(Y17&gt;Z17,W17,0)</f>
        <v>0</v>
      </c>
      <c r="AH17" s="108">
        <f t="shared" ref="AH17:AH21" si="23">Y17</f>
        <v>-7575.7894736842118</v>
      </c>
      <c r="AI17" s="106">
        <f t="shared" ref="AI17:AI21" si="24">T17</f>
        <v>-988.84799999999996</v>
      </c>
      <c r="AJ17" s="107">
        <f t="shared" ref="AJ17:AJ21" si="25">IF(Z17&gt;Y17,W17,0)</f>
        <v>0</v>
      </c>
      <c r="AK17" s="108">
        <f t="shared" ref="AK17:AK21" si="26">Z17</f>
        <v>16171.578947368418</v>
      </c>
      <c r="AL17" s="106">
        <f t="shared" ref="AL17:AL21" si="27">U17</f>
        <v>-1071.252</v>
      </c>
      <c r="AM17" s="107">
        <f t="shared" ref="AM17:AM21" si="28">IF(AA17&gt;AB17,X17,0)</f>
        <v>0</v>
      </c>
      <c r="AN17" s="108">
        <f t="shared" ref="AN17:AN21" si="29">AA17</f>
        <v>57328.421052631595</v>
      </c>
      <c r="AO17" s="106">
        <f t="shared" ref="AO17:AO21" si="30">V17</f>
        <v>-1071.252</v>
      </c>
      <c r="AP17" s="107">
        <f t="shared" ref="AP17:AP21" si="31">IF(AB17&gt;AA17,X17,0)</f>
        <v>0</v>
      </c>
      <c r="AQ17" s="108">
        <f t="shared" ref="AQ17:AQ21" si="32">AB17</f>
        <v>81075.789473684228</v>
      </c>
      <c r="AR17" s="121"/>
    </row>
    <row r="18" spans="1:44" x14ac:dyDescent="0.25">
      <c r="A18">
        <v>3</v>
      </c>
      <c r="B18" s="38" t="s">
        <v>53</v>
      </c>
      <c r="C18" s="48">
        <v>-10</v>
      </c>
      <c r="D18" s="40"/>
      <c r="E18" s="33">
        <v>20</v>
      </c>
      <c r="F18" s="41">
        <f>0.3*$C$2*9.81</f>
        <v>12360.6</v>
      </c>
      <c r="G18" s="42">
        <f t="shared" si="1"/>
        <v>-54360.6</v>
      </c>
      <c r="H18" s="42">
        <f t="shared" si="2"/>
        <v>0</v>
      </c>
      <c r="I18" s="43">
        <f t="shared" si="2"/>
        <v>84000</v>
      </c>
      <c r="J18" s="39"/>
      <c r="K18" s="40"/>
      <c r="L18" s="40"/>
      <c r="M18" s="44">
        <f t="shared" si="3"/>
        <v>0</v>
      </c>
      <c r="N18" s="44">
        <f t="shared" si="4"/>
        <v>0</v>
      </c>
      <c r="O18" s="44">
        <f t="shared" si="5"/>
        <v>0</v>
      </c>
      <c r="P18" s="44">
        <f t="shared" si="6"/>
        <v>-12000</v>
      </c>
      <c r="Q18" s="44">
        <f t="shared" si="7"/>
        <v>0</v>
      </c>
      <c r="R18" s="45">
        <f t="shared" si="8"/>
        <v>0</v>
      </c>
      <c r="S18" s="46">
        <f t="shared" si="9"/>
        <v>-13046.544</v>
      </c>
      <c r="T18" s="44">
        <f t="shared" si="10"/>
        <v>-13046.544</v>
      </c>
      <c r="U18" s="44">
        <f t="shared" si="11"/>
        <v>-14133.755999999999</v>
      </c>
      <c r="V18" s="45">
        <f t="shared" si="12"/>
        <v>-14133.755999999999</v>
      </c>
      <c r="W18" s="51">
        <f t="shared" si="13"/>
        <v>0</v>
      </c>
      <c r="X18" s="52">
        <f t="shared" si="14"/>
        <v>0</v>
      </c>
      <c r="Y18" s="46">
        <f t="shared" si="15"/>
        <v>15480</v>
      </c>
      <c r="Z18" s="44">
        <f t="shared" si="16"/>
        <v>15480</v>
      </c>
      <c r="AA18" s="44">
        <f t="shared" si="17"/>
        <v>26520.000000000004</v>
      </c>
      <c r="AB18" s="47">
        <f t="shared" si="18"/>
        <v>26520.000000000004</v>
      </c>
      <c r="AC18" s="46">
        <f t="shared" si="19"/>
        <v>-6262.34112</v>
      </c>
      <c r="AD18" s="44">
        <f t="shared" si="20"/>
        <v>-6784.2028799999998</v>
      </c>
      <c r="AE18" s="100">
        <v>213.3</v>
      </c>
      <c r="AF18" s="106">
        <f t="shared" si="21"/>
        <v>-13046.544</v>
      </c>
      <c r="AG18" s="107">
        <f t="shared" si="22"/>
        <v>0</v>
      </c>
      <c r="AH18" s="108">
        <f t="shared" si="23"/>
        <v>15480</v>
      </c>
      <c r="AI18" s="106">
        <f t="shared" si="24"/>
        <v>-13046.544</v>
      </c>
      <c r="AJ18" s="107">
        <f t="shared" si="25"/>
        <v>0</v>
      </c>
      <c r="AK18" s="108">
        <f t="shared" si="26"/>
        <v>15480</v>
      </c>
      <c r="AL18" s="106">
        <f t="shared" si="27"/>
        <v>-14133.755999999999</v>
      </c>
      <c r="AM18" s="107">
        <f t="shared" si="28"/>
        <v>0</v>
      </c>
      <c r="AN18" s="108">
        <f t="shared" si="29"/>
        <v>26520.000000000004</v>
      </c>
      <c r="AO18" s="106">
        <f t="shared" si="30"/>
        <v>-14133.755999999999</v>
      </c>
      <c r="AP18" s="107">
        <f t="shared" si="31"/>
        <v>0</v>
      </c>
      <c r="AQ18" s="108">
        <f t="shared" si="32"/>
        <v>26520.000000000004</v>
      </c>
      <c r="AR18" s="121"/>
    </row>
    <row r="19" spans="1:44" x14ac:dyDescent="0.25">
      <c r="A19">
        <v>4</v>
      </c>
      <c r="B19" s="54" t="s">
        <v>52</v>
      </c>
      <c r="C19" s="48">
        <v>20</v>
      </c>
      <c r="D19" s="56"/>
      <c r="E19" s="33">
        <v>20</v>
      </c>
      <c r="F19" s="57">
        <f>0.1*$C$2*9.81</f>
        <v>4120.2</v>
      </c>
      <c r="G19" s="58">
        <f t="shared" si="1"/>
        <v>79879.8</v>
      </c>
      <c r="H19" s="58">
        <f t="shared" si="2"/>
        <v>0</v>
      </c>
      <c r="I19" s="59">
        <f t="shared" si="2"/>
        <v>84000</v>
      </c>
      <c r="J19" s="55"/>
      <c r="K19" s="56"/>
      <c r="L19" s="56"/>
      <c r="M19" s="60">
        <f t="shared" si="3"/>
        <v>0</v>
      </c>
      <c r="N19" s="60">
        <f t="shared" si="4"/>
        <v>0</v>
      </c>
      <c r="O19" s="60">
        <f t="shared" si="5"/>
        <v>0</v>
      </c>
      <c r="P19" s="60">
        <f t="shared" si="6"/>
        <v>24000</v>
      </c>
      <c r="Q19" s="60">
        <f t="shared" si="7"/>
        <v>0</v>
      </c>
      <c r="R19" s="61">
        <f t="shared" si="8"/>
        <v>0</v>
      </c>
      <c r="S19" s="62">
        <f t="shared" si="9"/>
        <v>13978.965</v>
      </c>
      <c r="T19" s="60">
        <f t="shared" si="10"/>
        <v>13978.965</v>
      </c>
      <c r="U19" s="60">
        <f t="shared" si="11"/>
        <v>25960.935000000001</v>
      </c>
      <c r="V19" s="61">
        <f t="shared" si="12"/>
        <v>25960.935000000001</v>
      </c>
      <c r="W19" s="63">
        <f t="shared" si="13"/>
        <v>0</v>
      </c>
      <c r="X19" s="64">
        <f t="shared" si="14"/>
        <v>0</v>
      </c>
      <c r="Y19" s="62">
        <f t="shared" si="15"/>
        <v>24480</v>
      </c>
      <c r="Z19" s="60">
        <f t="shared" si="16"/>
        <v>24480</v>
      </c>
      <c r="AA19" s="60">
        <f t="shared" si="17"/>
        <v>17520.000000000004</v>
      </c>
      <c r="AB19" s="65">
        <f t="shared" si="18"/>
        <v>17520.000000000004</v>
      </c>
      <c r="AC19" s="62">
        <f t="shared" si="19"/>
        <v>6709.9031999999997</v>
      </c>
      <c r="AD19" s="60">
        <f t="shared" si="20"/>
        <v>12461.248799999999</v>
      </c>
      <c r="AE19" s="101">
        <v>701.3</v>
      </c>
      <c r="AF19" s="106">
        <f t="shared" si="21"/>
        <v>13978.965</v>
      </c>
      <c r="AG19" s="107">
        <f t="shared" si="22"/>
        <v>0</v>
      </c>
      <c r="AH19" s="108">
        <f t="shared" si="23"/>
        <v>24480</v>
      </c>
      <c r="AI19" s="106">
        <f t="shared" si="24"/>
        <v>13978.965</v>
      </c>
      <c r="AJ19" s="107">
        <f t="shared" si="25"/>
        <v>0</v>
      </c>
      <c r="AK19" s="108">
        <f t="shared" si="26"/>
        <v>24480</v>
      </c>
      <c r="AL19" s="106">
        <f t="shared" si="27"/>
        <v>25960.935000000001</v>
      </c>
      <c r="AM19" s="107">
        <f t="shared" si="28"/>
        <v>0</v>
      </c>
      <c r="AN19" s="108">
        <f t="shared" si="29"/>
        <v>17520.000000000004</v>
      </c>
      <c r="AO19" s="106">
        <f t="shared" si="30"/>
        <v>25960.935000000001</v>
      </c>
      <c r="AP19" s="107">
        <f t="shared" si="31"/>
        <v>0</v>
      </c>
      <c r="AQ19" s="108">
        <f t="shared" si="32"/>
        <v>17520.000000000004</v>
      </c>
      <c r="AR19" s="121"/>
    </row>
    <row r="20" spans="1:44" x14ac:dyDescent="0.25">
      <c r="A20">
        <v>5</v>
      </c>
      <c r="B20" s="77" t="s">
        <v>51</v>
      </c>
      <c r="C20" s="70"/>
      <c r="D20" s="33">
        <v>20</v>
      </c>
      <c r="E20" s="33">
        <v>25</v>
      </c>
      <c r="F20" s="67">
        <f>0.1*$C$2*9.81</f>
        <v>4120.2</v>
      </c>
      <c r="G20" s="68">
        <f t="shared" si="1"/>
        <v>-4120.2</v>
      </c>
      <c r="H20" s="68">
        <f t="shared" si="2"/>
        <v>84000</v>
      </c>
      <c r="I20" s="69">
        <f t="shared" si="2"/>
        <v>105000</v>
      </c>
      <c r="J20" s="70"/>
      <c r="K20" s="66"/>
      <c r="L20" s="66"/>
      <c r="M20" s="71">
        <f t="shared" si="3"/>
        <v>0</v>
      </c>
      <c r="N20" s="71">
        <f t="shared" si="4"/>
        <v>0</v>
      </c>
      <c r="O20" s="71">
        <f t="shared" si="5"/>
        <v>0</v>
      </c>
      <c r="P20" s="71">
        <f t="shared" si="6"/>
        <v>0</v>
      </c>
      <c r="Q20" s="71">
        <f t="shared" si="7"/>
        <v>40000</v>
      </c>
      <c r="R20" s="72">
        <f t="shared" si="8"/>
        <v>0</v>
      </c>
      <c r="S20" s="73">
        <f t="shared" si="9"/>
        <v>-988.84799999999996</v>
      </c>
      <c r="T20" s="71">
        <f t="shared" si="10"/>
        <v>-988.84799999999996</v>
      </c>
      <c r="U20" s="71">
        <f t="shared" si="11"/>
        <v>-1071.252</v>
      </c>
      <c r="V20" s="72">
        <f t="shared" si="12"/>
        <v>-1071.252</v>
      </c>
      <c r="W20" s="74">
        <f t="shared" si="13"/>
        <v>36960</v>
      </c>
      <c r="X20" s="75">
        <f t="shared" si="14"/>
        <v>47040.000000000007</v>
      </c>
      <c r="Y20" s="73">
        <f t="shared" si="15"/>
        <v>13100</v>
      </c>
      <c r="Z20" s="71">
        <f t="shared" si="16"/>
        <v>33100</v>
      </c>
      <c r="AA20" s="71">
        <f t="shared" si="17"/>
        <v>19400.000000000004</v>
      </c>
      <c r="AB20" s="76">
        <f t="shared" si="18"/>
        <v>39400</v>
      </c>
      <c r="AC20" s="73">
        <f t="shared" si="19"/>
        <v>-474.64703999999995</v>
      </c>
      <c r="AD20" s="71">
        <f t="shared" si="20"/>
        <v>-514.20096000000001</v>
      </c>
      <c r="AE20" s="102">
        <v>228.7</v>
      </c>
      <c r="AF20" s="106">
        <f t="shared" si="21"/>
        <v>-988.84799999999996</v>
      </c>
      <c r="AG20" s="107">
        <f t="shared" si="22"/>
        <v>0</v>
      </c>
      <c r="AH20" s="108">
        <f t="shared" si="23"/>
        <v>13100</v>
      </c>
      <c r="AI20" s="106">
        <f t="shared" si="24"/>
        <v>-988.84799999999996</v>
      </c>
      <c r="AJ20" s="107">
        <f t="shared" si="25"/>
        <v>36960</v>
      </c>
      <c r="AK20" s="108">
        <f t="shared" si="26"/>
        <v>33100</v>
      </c>
      <c r="AL20" s="106">
        <f t="shared" si="27"/>
        <v>-1071.252</v>
      </c>
      <c r="AM20" s="107">
        <f t="shared" si="28"/>
        <v>0</v>
      </c>
      <c r="AN20" s="108">
        <f t="shared" si="29"/>
        <v>19400.000000000004</v>
      </c>
      <c r="AO20" s="106">
        <f t="shared" si="30"/>
        <v>-1071.252</v>
      </c>
      <c r="AP20" s="107">
        <f t="shared" si="31"/>
        <v>47040.000000000007</v>
      </c>
      <c r="AQ20" s="108">
        <f t="shared" si="32"/>
        <v>39400</v>
      </c>
      <c r="AR20" s="121"/>
    </row>
    <row r="21" spans="1:44" ht="15.75" thickBot="1" x14ac:dyDescent="0.3">
      <c r="A21">
        <v>6</v>
      </c>
      <c r="B21" s="94" t="s">
        <v>71</v>
      </c>
      <c r="C21" s="78"/>
      <c r="D21" s="79"/>
      <c r="E21" s="93">
        <v>40</v>
      </c>
      <c r="F21" s="80">
        <f t="shared" ref="F21" si="33">0.1*$C$2*9.81</f>
        <v>4120.2</v>
      </c>
      <c r="G21" s="81">
        <f t="shared" si="1"/>
        <v>-4120.2</v>
      </c>
      <c r="H21" s="81">
        <f t="shared" si="2"/>
        <v>0</v>
      </c>
      <c r="I21" s="82">
        <f t="shared" si="2"/>
        <v>168000</v>
      </c>
      <c r="J21" s="78"/>
      <c r="K21" s="79"/>
      <c r="L21" s="79"/>
      <c r="M21" s="80">
        <f t="shared" si="3"/>
        <v>0</v>
      </c>
      <c r="N21" s="80">
        <f t="shared" si="4"/>
        <v>0</v>
      </c>
      <c r="O21" s="80">
        <f t="shared" si="5"/>
        <v>0</v>
      </c>
      <c r="P21" s="80">
        <f t="shared" si="6"/>
        <v>0</v>
      </c>
      <c r="Q21" s="80">
        <f t="shared" si="7"/>
        <v>0</v>
      </c>
      <c r="R21" s="83">
        <f t="shared" si="8"/>
        <v>0</v>
      </c>
      <c r="S21" s="84">
        <f t="shared" si="9"/>
        <v>-988.84799999999996</v>
      </c>
      <c r="T21" s="80">
        <f t="shared" si="10"/>
        <v>-988.84799999999996</v>
      </c>
      <c r="U21" s="80">
        <f t="shared" si="11"/>
        <v>-1071.252</v>
      </c>
      <c r="V21" s="83">
        <f t="shared" si="12"/>
        <v>-1071.252</v>
      </c>
      <c r="W21" s="85">
        <f t="shared" si="13"/>
        <v>0</v>
      </c>
      <c r="X21" s="86">
        <f t="shared" si="14"/>
        <v>0</v>
      </c>
      <c r="Y21" s="84">
        <f t="shared" si="15"/>
        <v>36960</v>
      </c>
      <c r="Z21" s="80">
        <f t="shared" si="16"/>
        <v>36960</v>
      </c>
      <c r="AA21" s="80">
        <f t="shared" si="17"/>
        <v>47040.000000000007</v>
      </c>
      <c r="AB21" s="87">
        <f t="shared" si="18"/>
        <v>47040.000000000007</v>
      </c>
      <c r="AC21" s="84">
        <f t="shared" si="19"/>
        <v>-474.64703999999995</v>
      </c>
      <c r="AD21" s="80">
        <f t="shared" si="20"/>
        <v>-514.20096000000001</v>
      </c>
      <c r="AE21" s="103">
        <v>860.03</v>
      </c>
      <c r="AF21" s="109">
        <f t="shared" si="21"/>
        <v>-988.84799999999996</v>
      </c>
      <c r="AG21" s="110">
        <f t="shared" si="22"/>
        <v>0</v>
      </c>
      <c r="AH21" s="111">
        <f t="shared" si="23"/>
        <v>36960</v>
      </c>
      <c r="AI21" s="109">
        <f t="shared" si="24"/>
        <v>-988.84799999999996</v>
      </c>
      <c r="AJ21" s="110">
        <f t="shared" si="25"/>
        <v>0</v>
      </c>
      <c r="AK21" s="111">
        <f t="shared" si="26"/>
        <v>36960</v>
      </c>
      <c r="AL21" s="109">
        <f t="shared" si="27"/>
        <v>-1071.252</v>
      </c>
      <c r="AM21" s="110">
        <f t="shared" si="28"/>
        <v>0</v>
      </c>
      <c r="AN21" s="111">
        <f t="shared" si="29"/>
        <v>47040.000000000007</v>
      </c>
      <c r="AO21" s="109">
        <f t="shared" si="30"/>
        <v>-1071.252</v>
      </c>
      <c r="AP21" s="110">
        <f t="shared" si="31"/>
        <v>0</v>
      </c>
      <c r="AQ21" s="111">
        <f t="shared" si="32"/>
        <v>47040.000000000007</v>
      </c>
      <c r="AR21" s="121"/>
    </row>
    <row r="23" spans="1:44" x14ac:dyDescent="0.25">
      <c r="B23" s="53" t="s">
        <v>49</v>
      </c>
      <c r="Y23">
        <f>SUM(Y18:Z18)/SUM(Y18:AB18)</f>
        <v>0.36857142857142855</v>
      </c>
    </row>
    <row r="24" spans="1:44" x14ac:dyDescent="0.25">
      <c r="B24" s="53" t="s">
        <v>34</v>
      </c>
    </row>
    <row r="25" spans="1:44" x14ac:dyDescent="0.25">
      <c r="B25" t="s">
        <v>35</v>
      </c>
      <c r="Y25">
        <f>SUM(Y19:Z19)/SUM(Y19:AB19)</f>
        <v>0.58285714285714285</v>
      </c>
    </row>
    <row r="26" spans="1:44" x14ac:dyDescent="0.25">
      <c r="B26" t="s">
        <v>45</v>
      </c>
    </row>
    <row r="27" spans="1:44" x14ac:dyDescent="0.25">
      <c r="B27" t="s">
        <v>46</v>
      </c>
    </row>
    <row r="28" spans="1:44" x14ac:dyDescent="0.25">
      <c r="B28" s="53" t="s">
        <v>72</v>
      </c>
    </row>
  </sheetData>
  <conditionalFormatting sqref="AF16:AQ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Stefano.Rapisarda</dc:creator>
  <cp:lastModifiedBy>Stefano.Rapisarda</cp:lastModifiedBy>
  <dcterms:created xsi:type="dcterms:W3CDTF">2021-10-27T14:36:37Z</dcterms:created>
  <dcterms:modified xsi:type="dcterms:W3CDTF">2021-11-05T09:27:33Z</dcterms:modified>
</cp:coreProperties>
</file>