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Paganini\Desktop\DataEngineering\Out\"/>
    </mc:Choice>
  </mc:AlternateContent>
  <xr:revisionPtr revIDLastSave="0" documentId="8_{0D0471DE-FBF2-4F8C-8B43-DA0C5B135DD0}" xr6:coauthVersionLast="47" xr6:coauthVersionMax="47" xr10:uidLastSave="{00000000-0000-0000-0000-000000000000}"/>
  <bookViews>
    <workbookView xWindow="-28920" yWindow="-120" windowWidth="29040" windowHeight="15840" xr2:uid="{DFB8CE55-A576-4CF4-BF07-0DACBC7C1229}"/>
  </bookViews>
  <sheets>
    <sheet name="Front_30_68" sheetId="1" r:id="rId1"/>
    <sheet name="Rear_31_7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 a="1"/>
  <c r="F36" i="1" s="1"/>
  <c r="F31" i="1" a="1"/>
  <c r="F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1" i="1" a="1"/>
  <c r="E31" i="1" s="1"/>
  <c r="D33" i="1" a="1"/>
  <c r="D33" i="1" s="1"/>
  <c r="D36" i="1" a="1"/>
  <c r="D36" i="1" s="1"/>
  <c r="D31" i="1" a="1"/>
  <c r="D31" i="1" s="1"/>
  <c r="C33" i="1" a="1"/>
  <c r="C33" i="1" s="1"/>
  <c r="C35" i="1" a="1"/>
  <c r="C35" i="1" s="1"/>
  <c r="C36" i="1" a="1"/>
  <c r="C36" i="1" s="1"/>
  <c r="C31" i="1" a="1"/>
  <c r="C31" i="1" s="1"/>
  <c r="I34" i="1"/>
  <c r="I33" i="1"/>
  <c r="I32" i="1"/>
  <c r="B35" i="1"/>
  <c r="F35" i="1" s="1" a="1"/>
  <c r="F35" i="1" s="1"/>
  <c r="B34" i="1"/>
  <c r="F34" i="1" s="1" a="1"/>
  <c r="F34" i="1" s="1"/>
  <c r="B33" i="1"/>
  <c r="F33" i="1" s="1" a="1"/>
  <c r="F33" i="1" s="1"/>
  <c r="B32" i="1"/>
  <c r="F32" i="1" s="1" a="1"/>
  <c r="F32" i="1" s="1"/>
  <c r="F30" i="1"/>
  <c r="E30" i="1"/>
  <c r="D30" i="1"/>
  <c r="J21" i="1" a="1"/>
  <c r="J21" i="1" s="1"/>
  <c r="J20" i="1" a="1"/>
  <c r="J20" i="1" s="1"/>
  <c r="J19" i="1" a="1"/>
  <c r="J19" i="1" s="1"/>
  <c r="C7" i="1"/>
  <c r="J31" i="1" s="1" a="1"/>
  <c r="J31" i="1" s="1"/>
  <c r="C6" i="1"/>
  <c r="C5" i="1"/>
  <c r="D4" i="1" s="1"/>
  <c r="E4" i="1" s="1"/>
  <c r="F4" i="1" s="1"/>
  <c r="G4" i="1" s="1"/>
  <c r="H4" i="1" s="1"/>
  <c r="I4" i="1" s="1"/>
  <c r="J34" i="1" s="1" a="1"/>
  <c r="J34" i="1" s="1"/>
  <c r="D29" i="2" a="1"/>
  <c r="D29" i="2" s="1"/>
  <c r="E29" i="2" a="1"/>
  <c r="E29" i="2" s="1"/>
  <c r="F29" i="2" a="1"/>
  <c r="F29" i="2"/>
  <c r="D30" i="2" a="1"/>
  <c r="D30" i="2"/>
  <c r="E30" i="2" a="1"/>
  <c r="E30" i="2" s="1"/>
  <c r="F30" i="2" a="1"/>
  <c r="F30" i="2" s="1"/>
  <c r="D31" i="2" a="1"/>
  <c r="D31" i="2"/>
  <c r="E31" i="2" a="1"/>
  <c r="E31" i="2"/>
  <c r="F31" i="2" a="1"/>
  <c r="F31" i="2" s="1"/>
  <c r="D32" i="2" a="1"/>
  <c r="D32" i="2" s="1"/>
  <c r="E32" i="2" a="1"/>
  <c r="E32" i="2" s="1"/>
  <c r="F32" i="2" a="1"/>
  <c r="F32" i="2" s="1"/>
  <c r="D33" i="2" a="1"/>
  <c r="D33" i="2" s="1"/>
  <c r="E33" i="2" a="1"/>
  <c r="E33" i="2" s="1"/>
  <c r="F33" i="2" a="1"/>
  <c r="F33" i="2" s="1"/>
  <c r="F28" i="2" a="1"/>
  <c r="F28" i="2" s="1"/>
  <c r="E28" i="2" a="1"/>
  <c r="E28" i="2"/>
  <c r="D28" i="2" a="1"/>
  <c r="D28" i="2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28" i="2" a="1"/>
  <c r="C28" i="2" s="1"/>
  <c r="J30" i="2" a="1"/>
  <c r="J30" i="2" s="1"/>
  <c r="J29" i="2" a="1"/>
  <c r="J29" i="2" s="1"/>
  <c r="J28" i="2" a="1"/>
  <c r="J28" i="2" s="1"/>
  <c r="J27" i="2" a="1"/>
  <c r="J27" i="2" s="1"/>
  <c r="B30" i="2"/>
  <c r="B31" i="2"/>
  <c r="B32" i="2"/>
  <c r="B29" i="2"/>
  <c r="I30" i="2"/>
  <c r="I29" i="2"/>
  <c r="I28" i="2"/>
  <c r="F27" i="2"/>
  <c r="E27" i="2"/>
  <c r="D27" i="2"/>
  <c r="B22" i="2"/>
  <c r="B21" i="2"/>
  <c r="B20" i="2"/>
  <c r="B19" i="2"/>
  <c r="B18" i="2"/>
  <c r="B17" i="2"/>
  <c r="F16" i="2"/>
  <c r="E16" i="2"/>
  <c r="D16" i="2"/>
  <c r="B16" i="2"/>
  <c r="C7" i="2"/>
  <c r="C6" i="2"/>
  <c r="C5" i="2"/>
  <c r="E4" i="2" s="1"/>
  <c r="I3" i="2"/>
  <c r="H3" i="2"/>
  <c r="G3" i="2"/>
  <c r="F3" i="2"/>
  <c r="E3" i="2"/>
  <c r="D3" i="2"/>
  <c r="C3" i="2"/>
  <c r="B22" i="1"/>
  <c r="C12" i="1"/>
  <c r="C13" i="1" s="1"/>
  <c r="C14" i="1" s="1"/>
  <c r="C15" i="1" s="1"/>
  <c r="C16" i="1" s="1"/>
  <c r="I21" i="1"/>
  <c r="I20" i="1"/>
  <c r="I19" i="1"/>
  <c r="B17" i="1"/>
  <c r="B16" i="1"/>
  <c r="B15" i="1"/>
  <c r="B14" i="1"/>
  <c r="B13" i="1"/>
  <c r="B12" i="1"/>
  <c r="B11" i="1"/>
  <c r="F20" i="1"/>
  <c r="E20" i="1"/>
  <c r="D20" i="1"/>
  <c r="D35" i="1" l="1" a="1"/>
  <c r="D35" i="1" s="1"/>
  <c r="D34" i="1" a="1"/>
  <c r="D34" i="1" s="1"/>
  <c r="C34" i="1" a="1"/>
  <c r="C34" i="1" s="1"/>
  <c r="D32" i="1" a="1"/>
  <c r="D32" i="1" s="1"/>
  <c r="C32" i="1" a="1"/>
  <c r="C32" i="1" s="1"/>
  <c r="J32" i="1" a="1"/>
  <c r="J32" i="1" s="1"/>
  <c r="J33" i="1" a="1"/>
  <c r="J33" i="1" s="1"/>
  <c r="F22" i="1" a="1"/>
  <c r="F22" i="1" s="1"/>
  <c r="E21" i="1" a="1"/>
  <c r="E21" i="1" s="1"/>
  <c r="F21" i="1" a="1"/>
  <c r="F21" i="1" s="1"/>
  <c r="D21" i="1" a="1"/>
  <c r="D21" i="1" s="1"/>
  <c r="E26" i="1" a="1"/>
  <c r="E26" i="1" s="1"/>
  <c r="F26" i="1" a="1"/>
  <c r="F26" i="1" s="1"/>
  <c r="D26" i="1" a="1"/>
  <c r="D26" i="1" s="1"/>
  <c r="D22" i="1" a="1"/>
  <c r="D22" i="1" s="1"/>
  <c r="D24" i="1" a="1"/>
  <c r="D24" i="1" s="1"/>
  <c r="E22" i="1" a="1"/>
  <c r="E22" i="1" s="1"/>
  <c r="I4" i="2"/>
  <c r="G4" i="2"/>
  <c r="F4" i="2"/>
  <c r="D4" i="2"/>
  <c r="H4" i="2"/>
  <c r="C19" i="2"/>
  <c r="C20" i="2"/>
  <c r="C17" i="2"/>
  <c r="C21" i="2"/>
  <c r="C18" i="2"/>
  <c r="I3" i="1"/>
  <c r="D3" i="1"/>
  <c r="E3" i="1"/>
  <c r="F3" i="1"/>
  <c r="G3" i="1"/>
  <c r="H3" i="1"/>
  <c r="C3" i="1"/>
  <c r="B23" i="1"/>
  <c r="D23" i="1" s="1" a="1"/>
  <c r="D23" i="1" s="1"/>
  <c r="B24" i="1"/>
  <c r="B25" i="1"/>
  <c r="F25" i="1" s="1" a="1"/>
  <c r="F25" i="1" s="1"/>
  <c r="J14" i="1" a="1"/>
  <c r="J14" i="1" s="1"/>
  <c r="F17" i="1" s="1" a="1"/>
  <c r="F17" i="1" s="1"/>
  <c r="J13" i="1" a="1"/>
  <c r="J13" i="1" s="1"/>
  <c r="E17" i="1" s="1" a="1"/>
  <c r="E17" i="1" s="1"/>
  <c r="J19" i="2" a="1"/>
  <c r="J19" i="2" s="1"/>
  <c r="F22" i="2" s="1" a="1"/>
  <c r="F22" i="2" s="1"/>
  <c r="J18" i="2" a="1"/>
  <c r="J18" i="2" s="1"/>
  <c r="E22" i="2" s="1" a="1"/>
  <c r="E22" i="2" s="1"/>
  <c r="J17" i="2" a="1"/>
  <c r="J17" i="2" s="1"/>
  <c r="D22" i="2" s="1" a="1"/>
  <c r="D22" i="2" s="1"/>
  <c r="C22" i="2" s="1"/>
  <c r="F24" i="1" l="1" a="1"/>
  <c r="F24" i="1" s="1"/>
  <c r="E25" i="1" a="1"/>
  <c r="E25" i="1" s="1"/>
  <c r="D25" i="1" a="1"/>
  <c r="D25" i="1" s="1"/>
  <c r="F23" i="1" a="1"/>
  <c r="F23" i="1" s="1"/>
  <c r="E23" i="1" a="1"/>
  <c r="E23" i="1" s="1"/>
  <c r="E24" i="1" a="1"/>
  <c r="E24" i="1" s="1"/>
  <c r="J12" i="1" a="1"/>
  <c r="J12" i="1" s="1"/>
  <c r="D17" i="1" s="1" a="1"/>
  <c r="D17" i="1" s="1"/>
  <c r="C17" i="1" s="1"/>
  <c r="J18" i="1" a="1"/>
  <c r="J18" i="1"/>
  <c r="C21" i="1" a="1"/>
  <c r="C21" i="1"/>
  <c r="C22" i="1" a="1"/>
  <c r="C22" i="1"/>
  <c r="C24" i="1" a="1"/>
  <c r="C24" i="1"/>
  <c r="C26" i="1" a="1"/>
  <c r="C26" i="1"/>
  <c r="C25" i="1" a="1"/>
  <c r="C25" i="1"/>
  <c r="C23" i="1" a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<sst xmlns="http://schemas.openxmlformats.org/spreadsheetml/2006/main" count="53" uniqueCount="22">
  <si>
    <t>3000 N</t>
  </si>
  <si>
    <t>6000 N</t>
  </si>
  <si>
    <t>8000 N</t>
  </si>
  <si>
    <t>Load/Speed</t>
  </si>
  <si>
    <t>VI Radius Compensation -&gt; Tire Load</t>
  </si>
  <si>
    <t>Loaded Radius/Speed</t>
  </si>
  <si>
    <t>Tire Loaded radius [m]</t>
  </si>
  <si>
    <t>x^2</t>
  </si>
  <si>
    <t>Fitting (LR-Speed)</t>
  </si>
  <si>
    <t>x</t>
  </si>
  <si>
    <t>x0</t>
  </si>
  <si>
    <t>Fitting (Load-LoadedRadius)</t>
  </si>
  <si>
    <t>0 kph</t>
  </si>
  <si>
    <t>100 kph</t>
  </si>
  <si>
    <t>200 kph</t>
  </si>
  <si>
    <t>300 kph</t>
  </si>
  <si>
    <t>2000 N</t>
  </si>
  <si>
    <t>4000 N</t>
  </si>
  <si>
    <t>R^2</t>
  </si>
  <si>
    <t>x^1</t>
  </si>
  <si>
    <t>Verticsl Stiffness estimated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</si>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</sst>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8">
    <xf numFmtId="0" fontId="0" fillId="0" borderId="0" xfId="0"/>
    <xf numFmtId="0" fontId="3" fillId="0" borderId="2" xfId="0" applyFont="1" applyBorder="1" applyAlignment="1">
      <alignment horizontal="center"/>
    </xf>
    <xf numFmtId="165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3" borderId="0" xfId="0" applyFont="1" applyFill="1"/>
    <xf numFmtId="165" fontId="0" fillId="0" borderId="0" xfId="0" applyNumberFormat="1" applyBorder="1"/>
    <xf numFmtId="0" fontId="0" fillId="0" borderId="1" xfId="0" applyBorder="1"/>
    <xf numFmtId="165" fontId="0" fillId="0" borderId="8" xfId="0" applyNumberFormat="1" applyBorder="1"/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1" fillId="2" borderId="15" xfId="1" applyBorder="1" applyAlignment="1">
      <alignment horizontal="center"/>
    </xf>
    <xf numFmtId="165" fontId="0" fillId="0" borderId="0" xfId="0" applyNumberFormat="1" applyFill="1" applyBorder="1"/>
    <xf numFmtId="0" fontId="0" fillId="2" borderId="15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 applyFill="1" applyBorder="1"/>
    <xf numFmtId="0" fontId="3" fillId="4" borderId="15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166" fontId="0" fillId="0" borderId="17" xfId="0" applyNumberFormat="1" applyFill="1" applyBorder="1"/>
    <xf numFmtId="166" fontId="0" fillId="0" borderId="18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166" fontId="0" fillId="0" borderId="0" xfId="0" applyNumberFormat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16" xfId="0" applyNumberFormat="1" applyBorder="1"/>
    <xf numFmtId="166" fontId="0" fillId="0" borderId="23" xfId="0" applyNumberFormat="1" applyBorder="1"/>
    <xf numFmtId="0" fontId="2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5" fontId="3" fillId="8" borderId="6" xfId="0" applyNumberFormat="1" applyFont="1" applyFill="1" applyBorder="1" applyAlignment="1">
      <alignment horizontal="center"/>
    </xf>
    <xf numFmtId="165" fontId="3" fillId="9" borderId="6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0" fontId="0" fillId="0" borderId="24" xfId="0" applyBorder="1"/>
    <xf numFmtId="0" fontId="0" fillId="2" borderId="25" xfId="1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16" xfId="0" applyBorder="1"/>
    <xf numFmtId="11" fontId="0" fillId="0" borderId="18" xfId="0" applyNumberFormat="1" applyBorder="1"/>
    <xf numFmtId="11" fontId="0" fillId="0" borderId="0" xfId="0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" fontId="0" fillId="0" borderId="0" xfId="0" applyNumberForma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Fill="1" applyBorder="1"/>
    <xf numFmtId="0" fontId="4" fillId="3" borderId="0" xfId="0" applyFont="1" applyFill="1" applyAlignment="1">
      <alignment horizontal="center"/>
    </xf>
    <xf numFmtId="11" fontId="0" fillId="0" borderId="24" xfId="0" applyNumberFormat="1" applyBorder="1"/>
    <xf numFmtId="11" fontId="0" fillId="0" borderId="27" xfId="0" applyNumberFormat="1" applyBorder="1"/>
    <xf numFmtId="0" fontId="0" fillId="0" borderId="27" xfId="0" applyBorder="1"/>
    <xf numFmtId="0" fontId="5" fillId="2" borderId="25" xfId="1" applyFont="1" applyBorder="1" applyAlignment="1">
      <alignment horizontal="center"/>
    </xf>
    <xf numFmtId="0" fontId="5" fillId="0" borderId="26" xfId="0" applyFont="1" applyBorder="1"/>
    <xf numFmtId="2" fontId="0" fillId="0" borderId="2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3" fillId="4" borderId="1" xfId="0" applyNumberFormat="1" applyFont="1" applyFill="1" applyBorder="1" applyAlignment="1">
      <alignment horizontal="center"/>
    </xf>
    <xf numFmtId="2" fontId="3" fillId="8" borderId="6" xfId="0" applyNumberFormat="1" applyFont="1" applyFill="1" applyBorder="1" applyAlignment="1">
      <alignment horizontal="center"/>
    </xf>
    <xf numFmtId="2" fontId="3" fillId="9" borderId="6" xfId="0" applyNumberFormat="1" applyFont="1" applyFill="1" applyBorder="1" applyAlignment="1">
      <alignment horizontal="center"/>
    </xf>
    <xf numFmtId="2" fontId="3" fillId="10" borderId="7" xfId="0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7" xfId="0" applyBorder="1"/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colors>
    <mruColors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Tire Loaded Radius [m]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Front_30_68!$B$5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1"/>
            <c:dispEq val="1"/>
            <c:trendlineLbl>
              <c:layout>
                <c:manualLayout>
                  <c:x val="-0.15924963819434729"/>
                  <c:y val="8.9104940969077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Front_30_68!$C$3:$I$3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Front_30_68!$C$5:$I$5</c:f>
              <c:numCache>
                <c:formatCode>General</c:formatCode>
                <c:ptCount val="7"/>
                <c:pt idx="0">
                  <c:v>0.32929999999999998</c:v>
                </c:pt>
                <c:pt idx="1">
                  <c:v>0.33100000000000002</c:v>
                </c:pt>
                <c:pt idx="2">
                  <c:v>0.33179999999999998</c:v>
                </c:pt>
                <c:pt idx="3">
                  <c:v>0.33310000000000001</c:v>
                </c:pt>
                <c:pt idx="4">
                  <c:v>0.33479999999999999</c:v>
                </c:pt>
                <c:pt idx="5">
                  <c:v>0.33679999999999999</c:v>
                </c:pt>
                <c:pt idx="6">
                  <c:v>0.33866999999999997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44-4B75-BB94-26391EF67AF9}"/>
            </c:ext>
          </c:extLst>
        </c:ser>
        <c:ser>
          <c:idx val="1"/>
          <c:order val="1"/>
          <c:tx>
            <c:strRef>
              <c:f>Front_30_68!$B$6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FF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1"/>
            <c:dispEq val="1"/>
            <c:trendlineLbl>
              <c:layout>
                <c:manualLayout>
                  <c:x val="-0.1477359231234382"/>
                  <c:y val="7.8847516312766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Front_30_68!$C$3:$I$3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Front_30_68!$C$6:$I$6</c:f>
              <c:numCache>
                <c:formatCode>General</c:formatCode>
                <c:ptCount val="7"/>
                <c:pt idx="0">
                  <c:v>0.31950000000000001</c:v>
                </c:pt>
                <c:pt idx="1">
                  <c:v>0.32100000000000001</c:v>
                </c:pt>
                <c:pt idx="2">
                  <c:v>0.32179999999999997</c:v>
                </c:pt>
                <c:pt idx="3">
                  <c:v>0.3231</c:v>
                </c:pt>
                <c:pt idx="4">
                  <c:v>0.32479999999999998</c:v>
                </c:pt>
                <c:pt idx="5">
                  <c:v>0.32679999999999998</c:v>
                </c:pt>
                <c:pt idx="6">
                  <c:v>0.32877000000000001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44-4B75-BB94-26391EF67AF9}"/>
            </c:ext>
          </c:extLst>
        </c:ser>
        <c:ser>
          <c:idx val="2"/>
          <c:order val="2"/>
          <c:tx>
            <c:strRef>
              <c:f>Front_30_68!$B$7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1"/>
            <c:dispEq val="1"/>
            <c:trendlineLbl>
              <c:layout>
                <c:manualLayout>
                  <c:x val="1.7754541495761531E-2"/>
                  <c:y val="0.145965321541405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Front_30_68!$C$3:$I$3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Front_30_68!$C$7:$I$7</c:f>
              <c:numCache>
                <c:formatCode>General</c:formatCode>
                <c:ptCount val="7"/>
                <c:pt idx="0">
                  <c:v>0.31579999999999997</c:v>
                </c:pt>
                <c:pt idx="1">
                  <c:v>0.31840000000000002</c:v>
                </c:pt>
                <c:pt idx="2">
                  <c:v>0.31919999999999998</c:v>
                </c:pt>
                <c:pt idx="3">
                  <c:v>0.32050000000000001</c:v>
                </c:pt>
                <c:pt idx="4">
                  <c:v>0.32219999999999999</c:v>
                </c:pt>
                <c:pt idx="5">
                  <c:v>0.32419999999999999</c:v>
                </c:pt>
                <c:pt idx="6">
                  <c:v>0.32561999999999997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44-4B75-BB94-26391EF6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39279"/>
        <c:axId val="484279551"/>
      </c:scatterChart>
      <c:valAx>
        <c:axId val="48153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279551"/>
        <c:crosses val="autoZero"/>
        <c:crossBetween val="midCat"/>
      </c:valAx>
      <c:valAx>
        <c:axId val="4842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Loaded Radius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53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Load</a:t>
            </a:r>
            <a:r>
              <a:rPr lang="it-IT" baseline="0"/>
              <a:t> on Tire </a:t>
            </a:r>
            <a:r>
              <a:rPr lang="it-IT"/>
              <a:t>[N]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Front_30_68!$B$11</c:f>
              <c:strCache>
                <c:ptCount val="1"/>
                <c:pt idx="0">
                  <c:v>0.000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Front_30_68!$C$11:$F$11</c:f>
              <c:numCache>
                <c:formatCode>0.0000</c:formatCode>
                <c:ptCount val="4"/>
                <c:pt idx="0">
                  <c:v>0.34179999999999999</c:v>
                </c:pt>
                <c:pt idx="1">
                  <c:v>0.32929999999999998</c:v>
                </c:pt>
                <c:pt idx="2">
                  <c:v>0.31950000000000001</c:v>
                </c:pt>
                <c:pt idx="3">
                  <c:v>0.31579999999999997</c:v>
                </c:pt>
              </c:numCache>
            </c:numRef>
          </c:xVal>
          <c:yVal>
            <c:numRef>
              <c:f>Front_30_68!$C$10:$F$10</c:f>
              <c:numCache>
                <c:formatCode>General</c:formatCode>
                <c:ptCount val="4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4-4B75-BB94-26391EF67AF9}"/>
            </c:ext>
          </c:extLst>
        </c:ser>
        <c:ser>
          <c:idx val="1"/>
          <c:order val="1"/>
          <c:tx>
            <c:strRef>
              <c:f>Front_30_68!$B$13</c:f>
              <c:strCache>
                <c:ptCount val="1"/>
                <c:pt idx="0">
                  <c:v>27.778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Front_30_68!$C$13:$F$13</c:f>
              <c:numCache>
                <c:formatCode>0.0000</c:formatCode>
                <c:ptCount val="4"/>
                <c:pt idx="0">
                  <c:v>0.34429999999999999</c:v>
                </c:pt>
                <c:pt idx="1">
                  <c:v>0.33179999999999998</c:v>
                </c:pt>
                <c:pt idx="2">
                  <c:v>0.32179999999999997</c:v>
                </c:pt>
                <c:pt idx="3">
                  <c:v>0.31919999999999998</c:v>
                </c:pt>
              </c:numCache>
            </c:numRef>
          </c:xVal>
          <c:yVal>
            <c:numRef>
              <c:f>Front_30_68!$C$10:$F$10</c:f>
              <c:numCache>
                <c:formatCode>General</c:formatCode>
                <c:ptCount val="4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44-4B75-BB94-26391EF67AF9}"/>
            </c:ext>
          </c:extLst>
        </c:ser>
        <c:ser>
          <c:idx val="2"/>
          <c:order val="2"/>
          <c:tx>
            <c:strRef>
              <c:f>Front_30_68!$B$15</c:f>
              <c:strCache>
                <c:ptCount val="1"/>
                <c:pt idx="0">
                  <c:v>55.556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Front_30_68!$C$15:$F$15</c:f>
              <c:numCache>
                <c:formatCode>0.0000</c:formatCode>
                <c:ptCount val="4"/>
                <c:pt idx="0">
                  <c:v>0.3473</c:v>
                </c:pt>
                <c:pt idx="1">
                  <c:v>0.33479999999999999</c:v>
                </c:pt>
                <c:pt idx="2">
                  <c:v>0.32479999999999998</c:v>
                </c:pt>
                <c:pt idx="3">
                  <c:v>0.32219999999999999</c:v>
                </c:pt>
              </c:numCache>
            </c:numRef>
          </c:xVal>
          <c:yVal>
            <c:numRef>
              <c:f>Front_30_68!$C$10:$F$10</c:f>
              <c:numCache>
                <c:formatCode>General</c:formatCode>
                <c:ptCount val="4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44-4B75-BB94-26391EF67AF9}"/>
            </c:ext>
          </c:extLst>
        </c:ser>
        <c:ser>
          <c:idx val="3"/>
          <c:order val="3"/>
          <c:tx>
            <c:strRef>
              <c:f>Front_30_68!$B$17</c:f>
              <c:strCache>
                <c:ptCount val="1"/>
                <c:pt idx="0">
                  <c:v>83.333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Front_30_68!$C$17:$F$17</c:f>
              <c:numCache>
                <c:formatCode>0.0000</c:formatCode>
                <c:ptCount val="4"/>
                <c:pt idx="0">
                  <c:v>0.35116999999999998</c:v>
                </c:pt>
                <c:pt idx="1">
                  <c:v>0.33866999999999997</c:v>
                </c:pt>
                <c:pt idx="2">
                  <c:v>0.32877000000000001</c:v>
                </c:pt>
                <c:pt idx="3">
                  <c:v>0.32561999999999997</c:v>
                </c:pt>
              </c:numCache>
            </c:numRef>
          </c:xVal>
          <c:yVal>
            <c:numRef>
              <c:f>Front_30_68!$C$10:$F$10</c:f>
              <c:numCache>
                <c:formatCode>General</c:formatCode>
                <c:ptCount val="4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58-405B-8070-27D2D7ECC47C}"/>
            </c:ext>
          </c:extLst>
        </c:ser>
        <c:ser>
          <c:idx val="4"/>
          <c:order val="4"/>
          <c:tx>
            <c:v>0 kph</c:v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12700">
                <a:solidFill>
                  <a:srgbClr val="002060"/>
                </a:solidFill>
                <a:prstDash val="dash"/>
              </a:ln>
              <a:effectLst/>
            </c:spPr>
          </c:marker>
          <c:xVal>
            <c:numRef>
              <c:f>Front_30_68!$B$21:$B$26</c:f>
              <c:numCache>
                <c:formatCode>0.0000</c:formatCode>
                <c:ptCount val="6"/>
                <c:pt idx="0">
                  <c:v>0.318</c:v>
                </c:pt>
                <c:pt idx="1">
                  <c:v>0.3246</c:v>
                </c:pt>
                <c:pt idx="2">
                  <c:v>0.33119999999999999</c:v>
                </c:pt>
                <c:pt idx="3">
                  <c:v>0.33779999999999999</c:v>
                </c:pt>
                <c:pt idx="4">
                  <c:v>0.34439999999999998</c:v>
                </c:pt>
                <c:pt idx="5">
                  <c:v>0.35099999999999998</c:v>
                </c:pt>
              </c:numCache>
            </c:numRef>
          </c:xVal>
          <c:yVal>
            <c:numRef>
              <c:f>Front_30_68!$C$21:$C$26</c:f>
              <c:numCache>
                <c:formatCode>0.00</c:formatCode>
                <c:ptCount val="6"/>
                <c:pt idx="0">
                  <c:v>6886.4230893554632</c:v>
                </c:pt>
                <c:pt idx="1">
                  <c:v>4370.4847724835854</c:v>
                </c:pt>
                <c:pt idx="2">
                  <c:v>2326.3009639135562</c:v>
                </c:pt>
                <c:pt idx="3">
                  <c:v>753.87166364560835</c:v>
                </c:pt>
                <c:pt idx="4">
                  <c:v>-346.80312832049094</c:v>
                </c:pt>
                <c:pt idx="5">
                  <c:v>-975.72341198439244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58-405B-8070-27D2D7ECC47C}"/>
            </c:ext>
          </c:extLst>
        </c:ser>
        <c:ser>
          <c:idx val="5"/>
          <c:order val="5"/>
          <c:tx>
            <c:v>100 kph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Front_30_68!$B$21:$B$26</c:f>
              <c:numCache>
                <c:formatCode>0.0000</c:formatCode>
                <c:ptCount val="6"/>
                <c:pt idx="0">
                  <c:v>0.318</c:v>
                </c:pt>
                <c:pt idx="1">
                  <c:v>0.3246</c:v>
                </c:pt>
                <c:pt idx="2">
                  <c:v>0.33119999999999999</c:v>
                </c:pt>
                <c:pt idx="3">
                  <c:v>0.33779999999999999</c:v>
                </c:pt>
                <c:pt idx="4">
                  <c:v>0.34439999999999998</c:v>
                </c:pt>
                <c:pt idx="5">
                  <c:v>0.35099999999999998</c:v>
                </c:pt>
              </c:numCache>
            </c:numRef>
          </c:xVal>
          <c:yVal>
            <c:numRef>
              <c:f>Front_30_68!$D$21:$D$26</c:f>
              <c:numCache>
                <c:formatCode>0.00</c:formatCode>
                <c:ptCount val="6"/>
                <c:pt idx="0">
                  <c:v>8219.6275106832618</c:v>
                </c:pt>
                <c:pt idx="1">
                  <c:v>5331.0277066096896</c:v>
                </c:pt>
                <c:pt idx="2">
                  <c:v>3002.610196928028</c:v>
                </c:pt>
                <c:pt idx="3">
                  <c:v>1234.3749816381605</c:v>
                </c:pt>
                <c:pt idx="4">
                  <c:v>26.322060740320012</c:v>
                </c:pt>
                <c:pt idx="5">
                  <c:v>-621.54856576560996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58-405B-8070-27D2D7ECC47C}"/>
            </c:ext>
          </c:extLst>
        </c:ser>
        <c:ser>
          <c:idx val="6"/>
          <c:order val="6"/>
          <c:tx>
            <c:v>200 kph</c:v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2700">
                <a:solidFill>
                  <a:srgbClr val="C00000"/>
                </a:solidFill>
                <a:prstDash val="dash"/>
              </a:ln>
              <a:effectLst/>
            </c:spPr>
          </c:marker>
          <c:xVal>
            <c:numRef>
              <c:f>Front_30_68!$B$21:$B$26</c:f>
              <c:numCache>
                <c:formatCode>0.0000</c:formatCode>
                <c:ptCount val="6"/>
                <c:pt idx="0">
                  <c:v>0.318</c:v>
                </c:pt>
                <c:pt idx="1">
                  <c:v>0.3246</c:v>
                </c:pt>
                <c:pt idx="2">
                  <c:v>0.33119999999999999</c:v>
                </c:pt>
                <c:pt idx="3">
                  <c:v>0.33779999999999999</c:v>
                </c:pt>
                <c:pt idx="4">
                  <c:v>0.34439999999999998</c:v>
                </c:pt>
                <c:pt idx="5">
                  <c:v>0.35099999999999998</c:v>
                </c:pt>
              </c:numCache>
            </c:numRef>
          </c:xVal>
          <c:yVal>
            <c:numRef>
              <c:f>Front_30_68!$E$21:$E$26</c:f>
              <c:numCache>
                <c:formatCode>General</c:formatCode>
                <c:ptCount val="6"/>
                <c:pt idx="0">
                  <c:v>9717.8116511768894</c:v>
                </c:pt>
                <c:pt idx="1">
                  <c:v>6574.5835314706201</c:v>
                </c:pt>
                <c:pt idx="2">
                  <c:v>3991.5377061562613</c:v>
                </c:pt>
                <c:pt idx="3">
                  <c:v>1968.6741752336966</c:v>
                </c:pt>
                <c:pt idx="4">
                  <c:v>505.99293870304246</c:v>
                </c:pt>
                <c:pt idx="5">
                  <c:v>-396.50600343558472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A58-405B-8070-27D2D7ECC47C}"/>
            </c:ext>
          </c:extLst>
        </c:ser>
        <c:ser>
          <c:idx val="7"/>
          <c:order val="7"/>
          <c:tx>
            <c:v>300 kph</c:v>
          </c:tx>
          <c:spPr>
            <a:ln w="1270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  <a:prstDash val="dash"/>
              </a:ln>
              <a:effectLst/>
            </c:spPr>
          </c:marker>
          <c:xVal>
            <c:numRef>
              <c:f>Front_30_68!$B$21:$B$26</c:f>
              <c:numCache>
                <c:formatCode>0.0000</c:formatCode>
                <c:ptCount val="6"/>
                <c:pt idx="0">
                  <c:v>0.318</c:v>
                </c:pt>
                <c:pt idx="1">
                  <c:v>0.3246</c:v>
                </c:pt>
                <c:pt idx="2">
                  <c:v>0.33119999999999999</c:v>
                </c:pt>
                <c:pt idx="3">
                  <c:v>0.33779999999999999</c:v>
                </c:pt>
                <c:pt idx="4">
                  <c:v>0.34439999999999998</c:v>
                </c:pt>
                <c:pt idx="5">
                  <c:v>0.35099999999999998</c:v>
                </c:pt>
              </c:numCache>
            </c:numRef>
          </c:xVal>
          <c:yVal>
            <c:numRef>
              <c:f>Front_30_68!$F$21:$F$26</c:f>
              <c:numCache>
                <c:formatCode>General</c:formatCode>
                <c:ptCount val="6"/>
                <c:pt idx="0">
                  <c:v>11556.988751786877</c:v>
                </c:pt>
                <c:pt idx="1">
                  <c:v>8218.6213637249311</c:v>
                </c:pt>
                <c:pt idx="2">
                  <c:v>5399.9804019621806</c:v>
                </c:pt>
                <c:pt idx="3">
                  <c:v>3101.065866498393</c:v>
                </c:pt>
                <c:pt idx="4">
                  <c:v>1321.8777573336847</c:v>
                </c:pt>
                <c:pt idx="5">
                  <c:v>62.416074468172155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A58-405B-8070-27D2D7ECC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39279"/>
        <c:axId val="484279551"/>
      </c:scatterChart>
      <c:valAx>
        <c:axId val="481539279"/>
        <c:scaling>
          <c:orientation val="minMax"/>
          <c:max val="0.35300000000000004"/>
          <c:min val="0.3154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Loaded Radius</a:t>
                </a:r>
                <a:r>
                  <a:rPr lang="it-IT" baseline="0"/>
                  <a:t>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279551"/>
        <c:crosses val="autoZero"/>
        <c:crossBetween val="midCat"/>
      </c:valAx>
      <c:valAx>
        <c:axId val="484279551"/>
        <c:scaling>
          <c:orientation val="minMax"/>
          <c:max val="14000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Load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539279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Tire Loaded Radius</a:t>
            </a:r>
            <a:r>
              <a:rPr lang="it-IT" baseline="0"/>
              <a:t> [m]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Rear_31_71!$B$5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-0.15296119508433753"/>
                  <c:y val="0.10130854451978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Rear_31_71!$C$5:$I$5</c:f>
              <c:numCache>
                <c:formatCode>General</c:formatCode>
                <c:ptCount val="7"/>
                <c:pt idx="0">
                  <c:v>0.34597</c:v>
                </c:pt>
                <c:pt idx="1">
                  <c:v>0.34620000000000001</c:v>
                </c:pt>
                <c:pt idx="2">
                  <c:v>0.34660000000000002</c:v>
                </c:pt>
                <c:pt idx="3">
                  <c:v>0.34739999999999999</c:v>
                </c:pt>
                <c:pt idx="4">
                  <c:v>0.34860000000000002</c:v>
                </c:pt>
                <c:pt idx="5">
                  <c:v>0.35070000000000001</c:v>
                </c:pt>
                <c:pt idx="6">
                  <c:v>0.35283500000000001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11-4594-A95E-C023BBA68A2E}"/>
            </c:ext>
          </c:extLst>
        </c:ser>
        <c:ser>
          <c:idx val="1"/>
          <c:order val="1"/>
          <c:tx>
            <c:strRef>
              <c:f>Rear_31_71!$B$6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FF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0.16159259205215426"/>
                  <c:y val="3.57918971851620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Rear_31_71!$C$6:$I$6</c:f>
              <c:numCache>
                <c:formatCode>General</c:formatCode>
                <c:ptCount val="7"/>
                <c:pt idx="0">
                  <c:v>0.33946999999999999</c:v>
                </c:pt>
                <c:pt idx="1">
                  <c:v>0.3397</c:v>
                </c:pt>
                <c:pt idx="2">
                  <c:v>0.34039999999999998</c:v>
                </c:pt>
                <c:pt idx="3">
                  <c:v>0.34179999999999999</c:v>
                </c:pt>
                <c:pt idx="4">
                  <c:v>0.34310000000000002</c:v>
                </c:pt>
                <c:pt idx="5">
                  <c:v>0.34460000000000002</c:v>
                </c:pt>
                <c:pt idx="6">
                  <c:v>0.34669500000000003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11-4594-A95E-C023BBA68A2E}"/>
            </c:ext>
          </c:extLst>
        </c:ser>
        <c:ser>
          <c:idx val="2"/>
          <c:order val="2"/>
          <c:tx>
            <c:strRef>
              <c:f>Rear_31_71!$B$7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3.7886936801456744E-2"/>
                  <c:y val="0.21172091196632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Rear_31_71!$C$3:$I$3</c:f>
              <c:numCache>
                <c:formatCode>0.000</c:formatCode>
                <c:ptCount val="7"/>
                <c:pt idx="0" formatCode="General">
                  <c:v>0</c:v>
                </c:pt>
                <c:pt idx="1">
                  <c:v>13.888888888888889</c:v>
                </c:pt>
                <c:pt idx="2">
                  <c:v>27.777777777777779</c:v>
                </c:pt>
                <c:pt idx="3">
                  <c:v>41.666666666666664</c:v>
                </c:pt>
                <c:pt idx="4">
                  <c:v>55.555555555555557</c:v>
                </c:pt>
                <c:pt idx="5">
                  <c:v>69.444444444444443</c:v>
                </c:pt>
                <c:pt idx="6" formatCode="General">
                  <c:v>83.333333333333329</c:v>
                </c:pt>
              </c:numCache>
            </c:numRef>
          </c:xVal>
          <c:yVal>
            <c:numRef>
              <c:f>Rear_31_71!$C$7:$I$7</c:f>
              <c:numCache>
                <c:formatCode>General</c:formatCode>
                <c:ptCount val="7"/>
                <c:pt idx="0">
                  <c:v>0.33296999999999999</c:v>
                </c:pt>
                <c:pt idx="1">
                  <c:v>0.33329999999999999</c:v>
                </c:pt>
                <c:pt idx="2">
                  <c:v>0.3337</c:v>
                </c:pt>
                <c:pt idx="3">
                  <c:v>0.33450000000000002</c:v>
                </c:pt>
                <c:pt idx="4">
                  <c:v>0.33560000000000001</c:v>
                </c:pt>
                <c:pt idx="5">
                  <c:v>0.33750000000000002</c:v>
                </c:pt>
                <c:pt idx="6">
                  <c:v>0.33940500000000001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11-4594-A95E-C023BBA68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9567"/>
        <c:axId val="50974591"/>
      </c:scatterChart>
      <c:valAx>
        <c:axId val="5098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974591"/>
        <c:crosses val="autoZero"/>
        <c:crossBetween val="midCat"/>
      </c:valAx>
      <c:valAx>
        <c:axId val="509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989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Load on Tire [N]</a:t>
            </a:r>
          </a:p>
        </c:rich>
      </c:tx>
      <c:layout>
        <c:manualLayout>
          <c:xMode val="edge"/>
          <c:yMode val="edge"/>
          <c:x val="0.40062911774904642"/>
          <c:y val="2.2670909875546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Rear_31_71!$B$16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55527306173759"/>
                  <c:y val="-0.56447798668039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Rear_31_71!$C$16:$F$16</c:f>
              <c:numCache>
                <c:formatCode>0.0000</c:formatCode>
                <c:ptCount val="4"/>
                <c:pt idx="0">
                  <c:v>0.35347000000000001</c:v>
                </c:pt>
                <c:pt idx="1">
                  <c:v>0.34597</c:v>
                </c:pt>
                <c:pt idx="2">
                  <c:v>0.33946999999999999</c:v>
                </c:pt>
                <c:pt idx="3">
                  <c:v>0.33296999999999999</c:v>
                </c:pt>
              </c:numCache>
            </c:numRef>
          </c:xVal>
          <c:yVal>
            <c:numRef>
              <c:f>Rear_31_71!$C$15:$F$15</c:f>
              <c:numCache>
                <c:formatCode>General</c:formatCode>
                <c:ptCount val="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8-47E6-9356-15B2B7D1E3A3}"/>
            </c:ext>
          </c:extLst>
        </c:ser>
        <c:ser>
          <c:idx val="1"/>
          <c:order val="1"/>
          <c:tx>
            <c:strRef>
              <c:f>Rear_31_71!$B$18</c:f>
              <c:strCache>
                <c:ptCount val="1"/>
                <c:pt idx="0">
                  <c:v>27.78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03012240952498"/>
                  <c:y val="-0.555827115568533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Rear_31_71!$C$18:$F$18</c:f>
              <c:numCache>
                <c:formatCode>0.0000</c:formatCode>
                <c:ptCount val="4"/>
                <c:pt idx="0">
                  <c:v>0.35410000000000003</c:v>
                </c:pt>
                <c:pt idx="1">
                  <c:v>0.34660000000000002</c:v>
                </c:pt>
                <c:pt idx="2">
                  <c:v>0.34039999999999998</c:v>
                </c:pt>
                <c:pt idx="3">
                  <c:v>0.3337</c:v>
                </c:pt>
              </c:numCache>
            </c:numRef>
          </c:xVal>
          <c:yVal>
            <c:numRef>
              <c:f>Rear_31_71!$C$15:$F$15</c:f>
              <c:numCache>
                <c:formatCode>General</c:formatCode>
                <c:ptCount val="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98-47E6-9356-15B2B7D1E3A3}"/>
            </c:ext>
          </c:extLst>
        </c:ser>
        <c:ser>
          <c:idx val="2"/>
          <c:order val="2"/>
          <c:tx>
            <c:strRef>
              <c:f>Rear_31_71!$B$20</c:f>
              <c:strCache>
                <c:ptCount val="1"/>
                <c:pt idx="0">
                  <c:v>55.56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320730895853499E-2"/>
                  <c:y val="-0.55390142706237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Rear_31_71!$C$20:$F$20</c:f>
              <c:numCache>
                <c:formatCode>0.0000</c:formatCode>
                <c:ptCount val="4"/>
                <c:pt idx="0">
                  <c:v>0.35610000000000003</c:v>
                </c:pt>
                <c:pt idx="1">
                  <c:v>0.34860000000000002</c:v>
                </c:pt>
                <c:pt idx="2">
                  <c:v>0.34310000000000002</c:v>
                </c:pt>
                <c:pt idx="3">
                  <c:v>0.33560000000000001</c:v>
                </c:pt>
              </c:numCache>
            </c:numRef>
          </c:xVal>
          <c:yVal>
            <c:numRef>
              <c:f>Rear_31_71!$C$15:$F$15</c:f>
              <c:numCache>
                <c:formatCode>General</c:formatCode>
                <c:ptCount val="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98-47E6-9356-15B2B7D1E3A3}"/>
            </c:ext>
          </c:extLst>
        </c:ser>
        <c:ser>
          <c:idx val="3"/>
          <c:order val="3"/>
          <c:tx>
            <c:strRef>
              <c:f>Rear_31_71!$B$22</c:f>
              <c:strCache>
                <c:ptCount val="1"/>
                <c:pt idx="0">
                  <c:v>83.33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238786267319479E-2"/>
                  <c:y val="-0.55098723333230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Rear_31_71!$C$22:$F$22</c:f>
              <c:numCache>
                <c:formatCode>0.0000</c:formatCode>
                <c:ptCount val="4"/>
                <c:pt idx="0">
                  <c:v>0.36033500000000002</c:v>
                </c:pt>
                <c:pt idx="1">
                  <c:v>0.35283500000000001</c:v>
                </c:pt>
                <c:pt idx="2">
                  <c:v>0.34669500000000003</c:v>
                </c:pt>
                <c:pt idx="3">
                  <c:v>0.33940500000000001</c:v>
                </c:pt>
              </c:numCache>
            </c:numRef>
          </c:xVal>
          <c:yVal>
            <c:numRef>
              <c:f>Rear_31_71!$C$15:$F$15</c:f>
              <c:numCache>
                <c:formatCode>General</c:formatCode>
                <c:ptCount val="4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98-47E6-9356-15B2B7D1E3A3}"/>
            </c:ext>
          </c:extLst>
        </c:ser>
        <c:ser>
          <c:idx val="4"/>
          <c:order val="4"/>
          <c:tx>
            <c:v>100 kph interp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Rear_31_71!$B$28:$B$33</c:f>
              <c:numCache>
                <c:formatCode>0.0000</c:formatCode>
                <c:ptCount val="6"/>
                <c:pt idx="0">
                  <c:v>0.33200000000000002</c:v>
                </c:pt>
                <c:pt idx="1">
                  <c:v>0.33779999999999999</c:v>
                </c:pt>
                <c:pt idx="2">
                  <c:v>0.34360000000000002</c:v>
                </c:pt>
                <c:pt idx="3">
                  <c:v>0.34939999999999999</c:v>
                </c:pt>
                <c:pt idx="4">
                  <c:v>0.35520000000000002</c:v>
                </c:pt>
                <c:pt idx="5">
                  <c:v>0.36099999999999999</c:v>
                </c:pt>
              </c:numCache>
            </c:numRef>
          </c:xVal>
          <c:yVal>
            <c:numRef>
              <c:f>Rear_31_71!$D$28:$D$33</c:f>
              <c:numCache>
                <c:formatCode>0.00</c:formatCode>
                <c:ptCount val="6"/>
                <c:pt idx="0">
                  <c:v>6466.8952782906854</c:v>
                </c:pt>
                <c:pt idx="1">
                  <c:v>4748.2634309329151</c:v>
                </c:pt>
                <c:pt idx="2">
                  <c:v>3029.6315835751302</c:v>
                </c:pt>
                <c:pt idx="3">
                  <c:v>1310.9997362173744</c:v>
                </c:pt>
                <c:pt idx="4">
                  <c:v>-407.63211114041042</c:v>
                </c:pt>
                <c:pt idx="5">
                  <c:v>-2126.2639584981807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198-47E6-9356-15B2B7D1E3A3}"/>
            </c:ext>
          </c:extLst>
        </c:ser>
        <c:ser>
          <c:idx val="5"/>
          <c:order val="5"/>
          <c:tx>
            <c:v>200 kph interp</c:v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sysDash"/>
              </a:ln>
              <a:effectLst/>
            </c:spPr>
          </c:marker>
          <c:xVal>
            <c:numRef>
              <c:f>Rear_31_71!$B$28:$B$33</c:f>
              <c:numCache>
                <c:formatCode>0.0000</c:formatCode>
                <c:ptCount val="6"/>
                <c:pt idx="0">
                  <c:v>0.33200000000000002</c:v>
                </c:pt>
                <c:pt idx="1">
                  <c:v>0.33779999999999999</c:v>
                </c:pt>
                <c:pt idx="2">
                  <c:v>0.34360000000000002</c:v>
                </c:pt>
                <c:pt idx="3">
                  <c:v>0.34939999999999999</c:v>
                </c:pt>
                <c:pt idx="4">
                  <c:v>0.35520000000000002</c:v>
                </c:pt>
                <c:pt idx="5">
                  <c:v>0.36099999999999999</c:v>
                </c:pt>
              </c:numCache>
            </c:numRef>
          </c:xVal>
          <c:yVal>
            <c:numRef>
              <c:f>Rear_31_71!$E$28:$E$33</c:f>
              <c:numCache>
                <c:formatCode>0.00</c:formatCode>
                <c:ptCount val="6"/>
                <c:pt idx="0">
                  <c:v>7119.644839067696</c:v>
                </c:pt>
                <c:pt idx="1">
                  <c:v>5394.4506104328466</c:v>
                </c:pt>
                <c:pt idx="2">
                  <c:v>3669.2563817979972</c:v>
                </c:pt>
                <c:pt idx="3">
                  <c:v>1944.0621531631477</c:v>
                </c:pt>
                <c:pt idx="4">
                  <c:v>218.86792452829832</c:v>
                </c:pt>
                <c:pt idx="5">
                  <c:v>-1506.3263041065366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98-47E6-9356-15B2B7D1E3A3}"/>
            </c:ext>
          </c:extLst>
        </c:ser>
        <c:ser>
          <c:idx val="6"/>
          <c:order val="6"/>
          <c:tx>
            <c:v>300 kph interp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xVal>
            <c:numRef>
              <c:f>Rear_31_71!$B$28:$B$33</c:f>
              <c:numCache>
                <c:formatCode>0.0000</c:formatCode>
                <c:ptCount val="6"/>
                <c:pt idx="0">
                  <c:v>0.33200000000000002</c:v>
                </c:pt>
                <c:pt idx="1">
                  <c:v>0.33779999999999999</c:v>
                </c:pt>
                <c:pt idx="2">
                  <c:v>0.34360000000000002</c:v>
                </c:pt>
                <c:pt idx="3">
                  <c:v>0.34939999999999999</c:v>
                </c:pt>
                <c:pt idx="4">
                  <c:v>0.35520000000000002</c:v>
                </c:pt>
                <c:pt idx="5">
                  <c:v>0.36099999999999999</c:v>
                </c:pt>
              </c:numCache>
            </c:numRef>
          </c:xVal>
          <c:yVal>
            <c:numRef>
              <c:f>Rear_31_71!$F$28:$F$33</c:f>
              <c:numCache>
                <c:formatCode>0.00</c:formatCode>
                <c:ptCount val="6"/>
                <c:pt idx="0">
                  <c:v>8162.652349041804</c:v>
                </c:pt>
                <c:pt idx="1">
                  <c:v>6482.0920221473352</c:v>
                </c:pt>
                <c:pt idx="2">
                  <c:v>4801.5316952528374</c:v>
                </c:pt>
                <c:pt idx="3">
                  <c:v>3120.9713683583541</c:v>
                </c:pt>
                <c:pt idx="4">
                  <c:v>1440.4110414638562</c:v>
                </c:pt>
                <c:pt idx="5">
                  <c:v>-240.14928543061251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198-47E6-9356-15B2B7D1E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0927"/>
        <c:axId val="60188847"/>
      </c:scatterChart>
      <c:valAx>
        <c:axId val="60190927"/>
        <c:scaling>
          <c:orientation val="minMax"/>
          <c:min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Loaded Radius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188847"/>
        <c:crosses val="autoZero"/>
        <c:crossBetween val="midCat"/>
      </c:valAx>
      <c:valAx>
        <c:axId val="6018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Load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19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15688</xdr:colOff>
      <xdr:row>1</xdr:row>
      <xdr:rowOff>1400</xdr:rowOff>
    </xdr:from>
    <xdr:to>
      <xdr:col>24</xdr:col>
      <xdr:colOff>582705</xdr:colOff>
      <xdr:row>23</xdr:row>
      <xdr:rowOff>22905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875C7-700F-4CCA-AFA5-AFF21CCCC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11205</xdr:colOff>
      <xdr:row>23</xdr:row>
      <xdr:rowOff>19890</xdr:rowOff>
    </xdr:from>
    <xdr:to>
      <xdr:col>24</xdr:col>
      <xdr:colOff>583670</xdr:colOff>
      <xdr:row>47</xdr:row>
      <xdr:rowOff>33618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2AAAB1-9F16-4733-B457-2583B5B0B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15128</xdr:colOff>
      <xdr:row>1</xdr:row>
      <xdr:rowOff>9525</xdr:rowOff>
    </xdr:from>
    <xdr:to>
      <xdr:col>20</xdr:col>
      <xdr:colOff>180975</xdr:colOff>
      <xdr:row>14</xdr:row>
      <xdr:rowOff>140148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6D937-3CAC-4B29-8F7C-7A885751C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</xdr:colOff>
      <xdr:row>15</xdr:row>
      <xdr:rowOff>23811</xdr:rowOff>
    </xdr:from>
    <xdr:to>
      <xdr:col>25</xdr:col>
      <xdr:colOff>196852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593DEE-89FA-4496-8C0B-771E1FAE1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863E-EFC6-45A0-98D0-6A8101124194}">
  <dimension ref="A2:M39"/>
  <sheetViews>
    <sheetView tabSelected="1" zoomScaleNormal="100" workbookViewId="0">
      <selection activeCell="C22" sqref="C22"/>
    </sheetView>
  </sheetViews>
  <sheetFormatPr defaultRowHeight="15" x14ac:dyDescent="0.25"/>
  <cols>
    <col min="1" max="1" width="4.140625" bestFit="1" customWidth="1"/>
    <col min="2" max="2" width="23.28515625" bestFit="1" customWidth="1"/>
    <col min="3" max="3" width="12" bestFit="1" customWidth="1"/>
    <col min="4" max="4" width="11.28515625" bestFit="1" customWidth="1"/>
    <col min="8" max="8" width="12.28515625" bestFit="1" customWidth="1"/>
    <col min="9" max="10" width="11.85546875" bestFit="1" customWidth="1"/>
    <col min="11" max="11" width="13.85546875" bestFit="1" customWidth="1"/>
    <col min="12" max="12" width="12.85546875" bestFit="1" customWidth="1"/>
    <col min="13" max="13" width="11.7109375" bestFit="1" customWidth="1"/>
  </cols>
  <sheetData>
    <row r="2" spans="1:13" ht="15.75" thickBot="1" x14ac:dyDescent="0.3">
      <c r="B2" s="12" t="s">
        <v>6</v>
      </c>
      <c r="C2">
        <v>0</v>
      </c>
      <c r="D2">
        <v>50</v>
      </c>
      <c r="E2">
        <v>100</v>
      </c>
      <c r="F2">
        <v>150</v>
      </c>
      <c r="G2">
        <v>200</v>
      </c>
      <c r="H2">
        <v>250</v>
      </c>
      <c r="I2">
        <v>300</v>
      </c>
    </row>
    <row r="3" spans="1:13" ht="15.75" thickBot="1" x14ac:dyDescent="0.3">
      <c r="B3" s="1" t="s">
        <v>3</v>
      </c>
      <c r="C3" s="14">
        <f>C2/3.6</f>
        <v>0</v>
      </c>
      <c r="D3" s="2">
        <f t="shared" ref="D3:I3" si="0">D2/3.6</f>
        <v>13.888888888888889</v>
      </c>
      <c r="E3" s="2">
        <f t="shared" si="0"/>
        <v>27.777777777777779</v>
      </c>
      <c r="F3" s="2">
        <f t="shared" si="0"/>
        <v>41.666666666666664</v>
      </c>
      <c r="G3" s="2">
        <f t="shared" si="0"/>
        <v>55.555555555555557</v>
      </c>
      <c r="H3" s="2">
        <f t="shared" si="0"/>
        <v>69.444444444444443</v>
      </c>
      <c r="I3" s="103">
        <f t="shared" si="0"/>
        <v>83.333333333333329</v>
      </c>
      <c r="K3" t="s">
        <v>20</v>
      </c>
    </row>
    <row r="4" spans="1:13" x14ac:dyDescent="0.25">
      <c r="B4" s="60">
        <v>0</v>
      </c>
      <c r="C4" s="6">
        <v>0.34179999999999999</v>
      </c>
      <c r="D4" s="13">
        <f>C4+(D5-C5)</f>
        <v>0.34350000000000003</v>
      </c>
      <c r="E4" s="13">
        <f t="shared" ref="E4:I4" si="1">D4+(E5-D5)</f>
        <v>0.34429999999999999</v>
      </c>
      <c r="F4" s="13">
        <f t="shared" si="1"/>
        <v>0.34560000000000002</v>
      </c>
      <c r="G4" s="13">
        <f t="shared" si="1"/>
        <v>0.3473</v>
      </c>
      <c r="H4" s="13">
        <f t="shared" si="1"/>
        <v>0.3493</v>
      </c>
      <c r="I4" s="31">
        <f t="shared" si="1"/>
        <v>0.35116999999999998</v>
      </c>
      <c r="K4" s="20"/>
    </row>
    <row r="5" spans="1:13" x14ac:dyDescent="0.25">
      <c r="B5" s="61">
        <v>3000</v>
      </c>
      <c r="C5" s="6">
        <f>C4-0.0125</f>
        <v>0.32929999999999998</v>
      </c>
      <c r="D5" s="7">
        <v>0.33100000000000002</v>
      </c>
      <c r="E5" s="7">
        <v>0.33179999999999998</v>
      </c>
      <c r="F5" s="7">
        <v>0.33310000000000001</v>
      </c>
      <c r="G5" s="7">
        <v>0.33479999999999999</v>
      </c>
      <c r="H5" s="7">
        <v>0.33679999999999999</v>
      </c>
      <c r="I5" s="8">
        <v>0.33866999999999997</v>
      </c>
      <c r="K5" s="20"/>
    </row>
    <row r="6" spans="1:13" x14ac:dyDescent="0.25">
      <c r="B6" s="62">
        <v>6000</v>
      </c>
      <c r="C6" s="6">
        <f>C4-0.0223</f>
        <v>0.31950000000000001</v>
      </c>
      <c r="D6" s="7">
        <v>0.32100000000000001</v>
      </c>
      <c r="E6" s="7">
        <v>0.32179999999999997</v>
      </c>
      <c r="F6" s="7">
        <v>0.3231</v>
      </c>
      <c r="G6" s="7">
        <v>0.32479999999999998</v>
      </c>
      <c r="H6" s="7">
        <v>0.32679999999999998</v>
      </c>
      <c r="I6" s="8">
        <v>0.32877000000000001</v>
      </c>
      <c r="K6" s="20"/>
    </row>
    <row r="7" spans="1:13" ht="15.75" thickBot="1" x14ac:dyDescent="0.3">
      <c r="B7" s="63">
        <v>8000</v>
      </c>
      <c r="C7" s="9">
        <f>C4-0.026</f>
        <v>0.31579999999999997</v>
      </c>
      <c r="D7" s="10">
        <v>0.31840000000000002</v>
      </c>
      <c r="E7" s="10">
        <v>0.31919999999999998</v>
      </c>
      <c r="F7" s="10">
        <v>0.32050000000000001</v>
      </c>
      <c r="G7" s="10">
        <v>0.32219999999999999</v>
      </c>
      <c r="H7" s="10">
        <v>0.32419999999999999</v>
      </c>
      <c r="I7" s="11">
        <v>0.32561999999999997</v>
      </c>
      <c r="K7" s="20"/>
    </row>
    <row r="8" spans="1:13" x14ac:dyDescent="0.25">
      <c r="B8" s="46"/>
      <c r="C8" s="7"/>
      <c r="D8" s="7"/>
      <c r="E8" s="7"/>
      <c r="F8" s="7"/>
      <c r="G8" s="7"/>
      <c r="H8" s="7"/>
      <c r="I8" s="7"/>
    </row>
    <row r="9" spans="1:13" ht="15.75" thickBot="1" x14ac:dyDescent="0.3">
      <c r="B9" s="12" t="s">
        <v>6</v>
      </c>
    </row>
    <row r="10" spans="1:13" ht="15.75" thickBot="1" x14ac:dyDescent="0.3">
      <c r="B10" s="22" t="s">
        <v>3</v>
      </c>
      <c r="C10" s="64">
        <v>0</v>
      </c>
      <c r="D10" s="65">
        <v>3000</v>
      </c>
      <c r="E10" s="66">
        <v>6000</v>
      </c>
      <c r="F10" s="67">
        <v>8000</v>
      </c>
      <c r="I10" s="107" t="s">
        <v>8</v>
      </c>
      <c r="J10" s="107"/>
      <c r="K10" s="107"/>
      <c r="L10" s="107"/>
    </row>
    <row r="11" spans="1:13" x14ac:dyDescent="0.25">
      <c r="A11" s="26">
        <v>0</v>
      </c>
      <c r="B11" s="30">
        <f t="shared" ref="B11:B17" si="2">A11/3.6</f>
        <v>0</v>
      </c>
      <c r="C11" s="91">
        <v>0.34179999999999999</v>
      </c>
      <c r="D11" s="92">
        <v>0.32929999999999998</v>
      </c>
      <c r="E11" s="92">
        <v>0.31950000000000001</v>
      </c>
      <c r="F11" s="93">
        <v>0.31579999999999997</v>
      </c>
      <c r="J11" s="19" t="s">
        <v>7</v>
      </c>
      <c r="K11" s="21" t="s">
        <v>9</v>
      </c>
      <c r="L11" s="21" t="s">
        <v>10</v>
      </c>
    </row>
    <row r="12" spans="1:13" x14ac:dyDescent="0.25">
      <c r="A12" s="27">
        <v>50</v>
      </c>
      <c r="B12" s="29">
        <f t="shared" si="2"/>
        <v>13.888888888888889</v>
      </c>
      <c r="C12" s="94">
        <f t="shared" ref="C12:C17" si="3">C11+(D12-D11)</f>
        <v>0.34350000000000003</v>
      </c>
      <c r="D12" s="95">
        <v>0.33100000000000002</v>
      </c>
      <c r="E12" s="95">
        <v>0.32100000000000001</v>
      </c>
      <c r="F12" s="96">
        <v>0.31840000000000002</v>
      </c>
      <c r="I12" s="34" t="s">
        <v>0</v>
      </c>
      <c r="J12" s="37" cm="1">
        <f t="array" ref="J12:L12">LINEST(D11:D16,B11:B16^{1,2},TRUE,FALSE)</f>
        <v>4.7211428571427508E-7</v>
      </c>
      <c r="K12" s="38">
        <v>7.048285714285781E-5</v>
      </c>
      <c r="L12" s="39">
        <v>0.32951785714285714</v>
      </c>
    </row>
    <row r="13" spans="1:13" x14ac:dyDescent="0.25">
      <c r="A13" s="27">
        <v>100</v>
      </c>
      <c r="B13" s="29">
        <f t="shared" si="2"/>
        <v>27.777777777777779</v>
      </c>
      <c r="C13" s="94">
        <f t="shared" si="3"/>
        <v>0.34429999999999999</v>
      </c>
      <c r="D13" s="95">
        <v>0.33179999999999998</v>
      </c>
      <c r="E13" s="95">
        <v>0.32179999999999997</v>
      </c>
      <c r="F13" s="96">
        <v>0.31919999999999998</v>
      </c>
      <c r="I13" s="35" t="s">
        <v>1</v>
      </c>
      <c r="J13" s="40" cm="1">
        <f t="array" ref="J13:L13">LINEST(E11:E16,B11:B16^{1,2},TRUE,FALSE)</f>
        <v>5.6468571428571917E-7</v>
      </c>
      <c r="K13" s="41">
        <v>6.1997142857142114E-5</v>
      </c>
      <c r="L13" s="42">
        <v>0.31968214285714291</v>
      </c>
    </row>
    <row r="14" spans="1:13" x14ac:dyDescent="0.25">
      <c r="A14" s="27">
        <v>150</v>
      </c>
      <c r="B14" s="29">
        <f t="shared" si="2"/>
        <v>41.666666666666664</v>
      </c>
      <c r="C14" s="94">
        <f t="shared" si="3"/>
        <v>0.34560000000000002</v>
      </c>
      <c r="D14" s="95">
        <v>0.33310000000000001</v>
      </c>
      <c r="E14" s="95">
        <v>0.3231</v>
      </c>
      <c r="F14" s="96">
        <v>0.32050000000000001</v>
      </c>
      <c r="I14" s="36" t="s">
        <v>2</v>
      </c>
      <c r="J14" s="43" cm="1">
        <f t="array" ref="J14:L14">LINEST(F11:F16,B11:B16^{1,2},TRUE,FALSE)</f>
        <v>5.5542857142841691E-8</v>
      </c>
      <c r="K14" s="44">
        <v>1.0866857142857259E-4</v>
      </c>
      <c r="L14" s="45">
        <v>0.31617857142857142</v>
      </c>
    </row>
    <row r="15" spans="1:13" x14ac:dyDescent="0.25">
      <c r="A15" s="27">
        <v>200</v>
      </c>
      <c r="B15" s="29">
        <f t="shared" si="2"/>
        <v>55.555555555555557</v>
      </c>
      <c r="C15" s="94">
        <f t="shared" si="3"/>
        <v>0.3473</v>
      </c>
      <c r="D15" s="95">
        <v>0.33479999999999999</v>
      </c>
      <c r="E15" s="95">
        <v>0.32479999999999998</v>
      </c>
      <c r="F15" s="96">
        <v>0.32219999999999999</v>
      </c>
    </row>
    <row r="16" spans="1:13" x14ac:dyDescent="0.25">
      <c r="A16" s="27">
        <v>250</v>
      </c>
      <c r="B16" s="29">
        <f t="shared" si="2"/>
        <v>69.444444444444443</v>
      </c>
      <c r="C16" s="94">
        <f t="shared" si="3"/>
        <v>0.3493</v>
      </c>
      <c r="D16" s="95">
        <v>0.33679999999999999</v>
      </c>
      <c r="E16" s="95">
        <v>0.32679999999999998</v>
      </c>
      <c r="F16" s="96">
        <v>0.32419999999999999</v>
      </c>
      <c r="I16" s="105" t="s">
        <v>11</v>
      </c>
      <c r="J16" s="105"/>
      <c r="K16" s="105"/>
      <c r="L16" s="105"/>
      <c r="M16" s="69"/>
    </row>
    <row r="17" spans="1:12" ht="15.75" thickBot="1" x14ac:dyDescent="0.3">
      <c r="A17" s="28">
        <v>300</v>
      </c>
      <c r="B17" s="32">
        <f t="shared" si="2"/>
        <v>83.333333333333329</v>
      </c>
      <c r="C17" s="97">
        <f t="shared" si="3"/>
        <v>0.35116999999999998</v>
      </c>
      <c r="D17" s="98" cm="1">
        <f t="array" ref="D17">SUMPRODUCT(_xlfn.ANCHORARRAY($J$12),B17^{2,1,0})</f>
        <v>0.33866999999999997</v>
      </c>
      <c r="E17" s="98" cm="1">
        <f t="array" ref="E17">SUMPRODUCT(_xlfn.ANCHORARRAY(J13),B17^{2,1,0})</f>
        <v>0.32877000000000001</v>
      </c>
      <c r="F17" s="99" cm="1">
        <f t="array" ref="F17">SUMPRODUCT(_xlfn.ANCHORARRAY(J14),B17^{2,1,0})</f>
        <v>0.32561999999999997</v>
      </c>
      <c r="J17" s="52" t="s">
        <v>7</v>
      </c>
      <c r="K17" s="52" t="s">
        <v>19</v>
      </c>
      <c r="L17" s="52" t="s">
        <v>10</v>
      </c>
    </row>
    <row r="18" spans="1:12" x14ac:dyDescent="0.25">
      <c r="H18" s="70" t="s">
        <v>12</v>
      </c>
      <c r="I18" s="51">
        <v>0</v>
      </c>
      <c r="J18" s="53" cm="1">
        <f t="array" ref="J18:L18">LINEST(B4:B7,C4:C7^{1,2})</f>
        <v>5414996.6517673479</v>
      </c>
      <c r="K18" s="57">
        <v>-3860879.6237093224</v>
      </c>
      <c r="L18" s="57">
        <v>687060.02201559872</v>
      </c>
    </row>
    <row r="19" spans="1:12" ht="15.75" thickBot="1" x14ac:dyDescent="0.3">
      <c r="B19" s="104" t="s">
        <v>4</v>
      </c>
      <c r="C19" s="104"/>
      <c r="D19" s="104"/>
      <c r="H19" s="70" t="s">
        <v>13</v>
      </c>
      <c r="I19" s="51">
        <f>100/3.6</f>
        <v>27.777777777777779</v>
      </c>
      <c r="J19" s="54" cm="1">
        <f t="array" ref="J19:L19">LINEST(B4:B7,E4:E7^{1,2},TRUE,FALSE)</f>
        <v>6430007.9705226552</v>
      </c>
      <c r="K19" s="58">
        <v>-4569589.7588387141</v>
      </c>
      <c r="L19" s="58">
        <v>811121.04481026146</v>
      </c>
    </row>
    <row r="20" spans="1:12" ht="15.75" thickBot="1" x14ac:dyDescent="0.3">
      <c r="B20" t="s">
        <v>5</v>
      </c>
      <c r="C20" s="47">
        <v>0</v>
      </c>
      <c r="D20" s="48">
        <f>100/3.6</f>
        <v>27.777777777777779</v>
      </c>
      <c r="E20" s="49">
        <f>200/3.6</f>
        <v>55.555555555555557</v>
      </c>
      <c r="F20" s="50">
        <f>300/3.6</f>
        <v>83.333333333333329</v>
      </c>
      <c r="H20" s="70" t="s">
        <v>14</v>
      </c>
      <c r="I20" s="51">
        <f>200/3.6</f>
        <v>55.555555555555557</v>
      </c>
      <c r="J20" s="54" cm="1">
        <f t="array" ref="J20:L20">LINEST(B4:B7,G4:G7^{1,2})</f>
        <v>6430007.9705222286</v>
      </c>
      <c r="K20" s="7">
        <v>-4608169.8066615649</v>
      </c>
      <c r="L20" s="7">
        <v>824887.68415846454</v>
      </c>
    </row>
    <row r="21" spans="1:12" x14ac:dyDescent="0.25">
      <c r="A21">
        <v>0</v>
      </c>
      <c r="B21" s="16">
        <v>0.318</v>
      </c>
      <c r="C21" s="78" cm="1">
        <f t="array" ref="C21">SUMPRODUCT(_xlfn.ANCHORARRAY($J$18),$B21^{2,1,0})</f>
        <v>6886.4230893554632</v>
      </c>
      <c r="D21" s="79" cm="1">
        <f t="array" ref="D21">SUMPRODUCT(_xlfn.ANCHORARRAY($J$19),$B21^{2,1,0})</f>
        <v>8219.6275106832618</v>
      </c>
      <c r="E21" s="4" cm="1">
        <f t="array" ref="E21">SUMPRODUCT(_xlfn.ANCHORARRAY($J$20)*$B21^{2,1,0})</f>
        <v>9717.8116511768894</v>
      </c>
      <c r="F21" s="5" cm="1">
        <f t="array" ref="F21">SUMPRODUCT(_xlfn.ANCHORARRAY($J$21),$B21^{2,1,0})</f>
        <v>11556.988751786877</v>
      </c>
      <c r="H21" s="70" t="s">
        <v>15</v>
      </c>
      <c r="I21" s="51">
        <f>300/3.6</f>
        <v>83.333333333333329</v>
      </c>
      <c r="J21" s="55" cm="1">
        <f t="array" ref="J21:L21">LINEST(B4:B7,I4:I7^{1,2})</f>
        <v>5965638.5020556897</v>
      </c>
      <c r="K21" s="56">
        <v>-4339332.5420364281</v>
      </c>
      <c r="L21" s="56">
        <v>788195.50923749141</v>
      </c>
    </row>
    <row r="22" spans="1:12" x14ac:dyDescent="0.25">
      <c r="A22">
        <v>1</v>
      </c>
      <c r="B22" s="17">
        <f>$B$21+($B$26-$B$21)/5*A22</f>
        <v>0.3246</v>
      </c>
      <c r="C22" s="81" cm="1">
        <f t="array" ref="C22">SUMPRODUCT(_xlfn.ANCHORARRAY($J$18),$B22^{2,1,0})</f>
        <v>4370.4847724835854</v>
      </c>
      <c r="D22" s="82" cm="1">
        <f t="array" ref="D22">SUMPRODUCT(_xlfn.ANCHORARRAY($J$19),$B22^{2,1,0})</f>
        <v>5331.0277066096896</v>
      </c>
      <c r="E22" s="7" cm="1">
        <f t="array" ref="E22">SUMPRODUCT(_xlfn.ANCHORARRAY($J$20)*$B22^{2,1,0})</f>
        <v>6574.5835314706201</v>
      </c>
      <c r="F22" s="8" cm="1">
        <f t="array" ref="F22">SUMPRODUCT(_xlfn.ANCHORARRAY($J$21),$B22^{2,1,0})</f>
        <v>8218.6213637249311</v>
      </c>
    </row>
    <row r="23" spans="1:12" x14ac:dyDescent="0.25">
      <c r="A23">
        <v>2</v>
      </c>
      <c r="B23" s="17">
        <f>$B$21+($B$26-$B$21)/5*A23</f>
        <v>0.33119999999999999</v>
      </c>
      <c r="C23" s="81" cm="1">
        <f t="array" ref="C23">SUMPRODUCT(_xlfn.ANCHORARRAY($J$18),$B23^{2,1,0})</f>
        <v>2326.3009639135562</v>
      </c>
      <c r="D23" s="82" cm="1">
        <f t="array" ref="D23">SUMPRODUCT(_xlfn.ANCHORARRAY($J$19),$B23^{2,1,0})</f>
        <v>3002.610196928028</v>
      </c>
      <c r="E23" s="7" cm="1">
        <f t="array" ref="E23">SUMPRODUCT(_xlfn.ANCHORARRAY($J$20)*$B23^{2,1,0})</f>
        <v>3991.5377061562613</v>
      </c>
      <c r="F23" s="8" cm="1">
        <f t="array" ref="F23">SUMPRODUCT(_xlfn.ANCHORARRAY($J$21),$B23^{2,1,0})</f>
        <v>5399.9804019621806</v>
      </c>
    </row>
    <row r="24" spans="1:12" x14ac:dyDescent="0.25">
      <c r="A24">
        <v>3</v>
      </c>
      <c r="B24" s="17">
        <f>$B$21+($B$26-$B$21)/5*A24</f>
        <v>0.33779999999999999</v>
      </c>
      <c r="C24" s="81" cm="1">
        <f t="array" ref="C24">SUMPRODUCT(_xlfn.ANCHORARRAY($J$18),$B24^{2,1,0})</f>
        <v>753.87166364560835</v>
      </c>
      <c r="D24" s="82" cm="1">
        <f t="array" ref="D24">SUMPRODUCT(_xlfn.ANCHORARRAY($J$19),$B24^{2,1,0})</f>
        <v>1234.3749816381605</v>
      </c>
      <c r="E24" s="7" cm="1">
        <f t="array" ref="E24">SUMPRODUCT(_xlfn.ANCHORARRAY($J$20)*$B24^{2,1,0})</f>
        <v>1968.6741752336966</v>
      </c>
      <c r="F24" s="8" cm="1">
        <f t="array" ref="F24">SUMPRODUCT(_xlfn.ANCHORARRAY($J$21),$B24^{2,1,0})</f>
        <v>3101.065866498393</v>
      </c>
    </row>
    <row r="25" spans="1:12" x14ac:dyDescent="0.25">
      <c r="A25">
        <v>4</v>
      </c>
      <c r="B25" s="17">
        <f>$B$21+($B$26-$B$21)/5*A25</f>
        <v>0.34439999999999998</v>
      </c>
      <c r="C25" s="81" cm="1">
        <f t="array" ref="C25">SUMPRODUCT(_xlfn.ANCHORARRAY($J$18),$B25^{2,1,0})</f>
        <v>-346.80312832049094</v>
      </c>
      <c r="D25" s="82" cm="1">
        <f t="array" ref="D25">SUMPRODUCT(_xlfn.ANCHORARRAY($J$19),$B25^{2,1,0})</f>
        <v>26.322060740320012</v>
      </c>
      <c r="E25" s="7" cm="1">
        <f t="array" ref="E25">SUMPRODUCT(_xlfn.ANCHORARRAY($J$20)*$B25^{2,1,0})</f>
        <v>505.99293870304246</v>
      </c>
      <c r="F25" s="8" cm="1">
        <f t="array" ref="F25">SUMPRODUCT(_xlfn.ANCHORARRAY($J$21),$B25^{2,1,0})</f>
        <v>1321.8777573336847</v>
      </c>
    </row>
    <row r="26" spans="1:12" ht="15.75" thickBot="1" x14ac:dyDescent="0.3">
      <c r="A26">
        <v>5</v>
      </c>
      <c r="B26" s="18">
        <v>0.35099999999999998</v>
      </c>
      <c r="C26" s="84" cm="1">
        <f t="array" ref="C26">SUMPRODUCT(_xlfn.ANCHORARRAY($J$18),$B26^{2,1,0})</f>
        <v>-975.72341198439244</v>
      </c>
      <c r="D26" s="85" cm="1">
        <f t="array" ref="D26">SUMPRODUCT(_xlfn.ANCHORARRAY($J$19),$B26^{2,1,0})</f>
        <v>-621.54856576560996</v>
      </c>
      <c r="E26" s="10" cm="1">
        <f t="array" ref="E26">SUMPRODUCT(_xlfn.ANCHORARRAY($J$20)*$B26^{2,1,0})</f>
        <v>-396.50600343558472</v>
      </c>
      <c r="F26" s="11" cm="1">
        <f t="array" ref="F26">SUMPRODUCT(_xlfn.ANCHORARRAY($J$21),$B26^{2,1,0})</f>
        <v>62.416074468172155</v>
      </c>
    </row>
    <row r="27" spans="1:12" x14ac:dyDescent="0.25">
      <c r="C27" s="59"/>
      <c r="D27" s="59"/>
    </row>
    <row r="28" spans="1:12" ht="15.75" x14ac:dyDescent="0.25">
      <c r="B28" s="106" t="s">
        <v>21</v>
      </c>
      <c r="C28" s="106"/>
      <c r="D28" s="106"/>
      <c r="E28" s="106"/>
      <c r="F28" s="106"/>
      <c r="G28" s="106"/>
      <c r="H28" s="106"/>
      <c r="I28" s="106"/>
      <c r="J28" s="106"/>
      <c r="K28" s="106"/>
    </row>
    <row r="29" spans="1:12" ht="15.75" thickBot="1" x14ac:dyDescent="0.3">
      <c r="B29" s="104" t="s">
        <v>4</v>
      </c>
      <c r="C29" s="104"/>
      <c r="D29" s="104"/>
      <c r="I29" s="105" t="s">
        <v>11</v>
      </c>
      <c r="J29" s="105"/>
      <c r="K29" s="105"/>
      <c r="L29" s="105"/>
    </row>
    <row r="30" spans="1:12" ht="15.75" thickBot="1" x14ac:dyDescent="0.3">
      <c r="B30" t="s">
        <v>5</v>
      </c>
      <c r="C30" s="47">
        <v>0</v>
      </c>
      <c r="D30" s="48">
        <f>100/3.6</f>
        <v>27.777777777777779</v>
      </c>
      <c r="E30" s="49">
        <f>200/3.6</f>
        <v>55.555555555555557</v>
      </c>
      <c r="F30" s="50">
        <f>300/3.6</f>
        <v>83.333333333333329</v>
      </c>
      <c r="J30" s="52" t="s">
        <v>9</v>
      </c>
      <c r="K30" s="52" t="s">
        <v>10</v>
      </c>
    </row>
    <row r="31" spans="1:12" x14ac:dyDescent="0.25">
      <c r="A31">
        <v>0</v>
      </c>
      <c r="B31" s="16">
        <v>0.318</v>
      </c>
      <c r="C31" s="78" cm="1">
        <f t="array" ref="C31">SUMPRODUCT(_xlfn.ANCHORARRAY($J$31),$B31^{1,0})</f>
        <v>6814.8527307711338</v>
      </c>
      <c r="D31" s="79" cm="1">
        <f t="array" ref="D31">SUMPRODUCT(_xlfn.ANCHORARRAY($J$32),$B31^{1,0})</f>
        <v>7662.1053509881021</v>
      </c>
      <c r="E31" s="4" cm="1">
        <f t="array" ref="E31">SUMPRODUCT(_xlfn.ANCHORARRAY($J$33),$B31^{1,0})</f>
        <v>8569.9826062399225</v>
      </c>
      <c r="F31" s="5" cm="1">
        <f t="array" ref="F31">SUMPRODUCT(_xlfn.ANCHORARRAY($J$34),$B31^{1,0})</f>
        <v>9676.7472337988584</v>
      </c>
      <c r="H31" s="70" t="s">
        <v>12</v>
      </c>
      <c r="I31" s="51">
        <v>0</v>
      </c>
      <c r="J31" s="53" cm="1">
        <f t="array" ref="J31:K31">LINEST(B4:B7,C4:C7)</f>
        <v>-298238.68962454976</v>
      </c>
      <c r="K31" s="57">
        <v>101654.75603137795</v>
      </c>
    </row>
    <row r="32" spans="1:12" x14ac:dyDescent="0.25">
      <c r="A32">
        <v>1</v>
      </c>
      <c r="B32" s="17">
        <f>$B$21+($B$26-$B$21)/5*A32</f>
        <v>0.3246</v>
      </c>
      <c r="C32" s="81" cm="1">
        <f t="array" ref="C32">SUMPRODUCT(_xlfn.ANCHORARRAY($J$31),$B32^{1,0})</f>
        <v>4846.4773792491033</v>
      </c>
      <c r="D32" s="82" cm="1">
        <f t="array" ref="D32">SUMPRODUCT(_xlfn.ANCHORARRAY($J$32),$B32^{1,0})</f>
        <v>5664.7753894340858</v>
      </c>
      <c r="E32" s="7" cm="1">
        <f t="array" ref="E32">SUMPRODUCT(_xlfn.ANCHORARRAY($J$33),$B32^{1,0})</f>
        <v>6572.6526446859061</v>
      </c>
      <c r="F32" s="8" cm="1">
        <f t="array" ref="F32">SUMPRODUCT(_xlfn.ANCHORARRAY($J$34),$B32^{1,0})</f>
        <v>7693.2760033919621</v>
      </c>
      <c r="H32" s="70" t="s">
        <v>13</v>
      </c>
      <c r="I32" s="51">
        <f>100/3.6</f>
        <v>27.777777777777779</v>
      </c>
      <c r="J32" s="54" cm="1">
        <f t="array" ref="J32:K32">LINEST(B4:B7,E4:E7,TRUE,FALSE)</f>
        <v>-302625.75175060792</v>
      </c>
      <c r="K32" s="58">
        <v>103897.09440768142</v>
      </c>
    </row>
    <row r="33" spans="1:12" x14ac:dyDescent="0.25">
      <c r="A33">
        <v>2</v>
      </c>
      <c r="B33" s="17">
        <f>$B$21+($B$26-$B$21)/5*A33</f>
        <v>0.33119999999999999</v>
      </c>
      <c r="C33" s="81" cm="1">
        <f t="array" ref="C33">SUMPRODUCT(_xlfn.ANCHORARRAY($J$31),$B33^{1,0})</f>
        <v>2878.1020277270727</v>
      </c>
      <c r="D33" s="82" cm="1">
        <f t="array" ref="D33">SUMPRODUCT(_xlfn.ANCHORARRAY($J$32),$B33^{1,0})</f>
        <v>3667.445427880084</v>
      </c>
      <c r="E33" s="7" cm="1">
        <f t="array" ref="E33">SUMPRODUCT(_xlfn.ANCHORARRAY($J$33),$B33^{1,0})</f>
        <v>4575.3226831319043</v>
      </c>
      <c r="F33" s="8" cm="1">
        <f t="array" ref="F33">SUMPRODUCT(_xlfn.ANCHORARRAY($J$34),$B33^{1,0})</f>
        <v>5709.8047729850659</v>
      </c>
      <c r="H33" s="70" t="s">
        <v>14</v>
      </c>
      <c r="I33" s="51">
        <f>200/3.6</f>
        <v>55.555555555555557</v>
      </c>
      <c r="J33" s="54" cm="1">
        <f t="array" ref="J33:K33">LINEST(B4:B7,G4:G7)</f>
        <v>-302625.75175060792</v>
      </c>
      <c r="K33" s="7">
        <v>104804.97166293324</v>
      </c>
    </row>
    <row r="34" spans="1:12" x14ac:dyDescent="0.25">
      <c r="A34">
        <v>3</v>
      </c>
      <c r="B34" s="17">
        <f>$B$21+($B$26-$B$21)/5*A34</f>
        <v>0.33779999999999999</v>
      </c>
      <c r="C34" s="81" cm="1">
        <f t="array" ref="C34">SUMPRODUCT(_xlfn.ANCHORARRAY($J$31),$B34^{1,0})</f>
        <v>909.72667620504217</v>
      </c>
      <c r="D34" s="82" cm="1">
        <f t="array" ref="D34">SUMPRODUCT(_xlfn.ANCHORARRAY($J$32),$B34^{1,0})</f>
        <v>1670.1154663260677</v>
      </c>
      <c r="E34" s="7" cm="1">
        <f t="array" ref="E34">SUMPRODUCT(_xlfn.ANCHORARRAY($J$33),$B34^{1,0})</f>
        <v>2577.992721577888</v>
      </c>
      <c r="F34" s="8" cm="1">
        <f t="array" ref="F34">SUMPRODUCT(_xlfn.ANCHORARRAY($J$34),$B34^{1,0})</f>
        <v>3726.3335425781843</v>
      </c>
      <c r="H34" s="70" t="s">
        <v>15</v>
      </c>
      <c r="I34" s="51">
        <f>300/3.6</f>
        <v>83.333333333333329</v>
      </c>
      <c r="J34" s="55" cm="1">
        <f t="array" ref="J34:K34">LINEST(B4:B7,I4:I7)</f>
        <v>-300525.94400104473</v>
      </c>
      <c r="K34" s="56">
        <v>105243.99742613109</v>
      </c>
    </row>
    <row r="35" spans="1:12" x14ac:dyDescent="0.25">
      <c r="A35">
        <v>4</v>
      </c>
      <c r="B35" s="17">
        <f>$B$21+($B$26-$B$21)/5*A35</f>
        <v>0.34439999999999998</v>
      </c>
      <c r="C35" s="81" cm="1">
        <f t="array" ref="C35">SUMPRODUCT(_xlfn.ANCHORARRAY($J$31),$B35^{1,0})</f>
        <v>-1058.6486753169738</v>
      </c>
      <c r="D35" s="82" cm="1">
        <f t="array" ref="D35">SUMPRODUCT(_xlfn.ANCHORARRAY($J$32),$B35^{1,0})</f>
        <v>-327.21449522794865</v>
      </c>
      <c r="E35" s="7" cm="1">
        <f t="array" ref="E35">SUMPRODUCT(_xlfn.ANCHORARRAY($J$33),$B35^{1,0})</f>
        <v>580.66276002387167</v>
      </c>
      <c r="F35" s="8" cm="1">
        <f t="array" ref="F35">SUMPRODUCT(_xlfn.ANCHORARRAY($J$34),$B35^{1,0})</f>
        <v>1742.8623121712881</v>
      </c>
      <c r="K35" s="68"/>
      <c r="L35" s="68"/>
    </row>
    <row r="36" spans="1:12" ht="15.75" thickBot="1" x14ac:dyDescent="0.3">
      <c r="A36">
        <v>5</v>
      </c>
      <c r="B36" s="18">
        <v>0.35099999999999998</v>
      </c>
      <c r="C36" s="84" cm="1">
        <f t="array" ref="C36">SUMPRODUCT(_xlfn.ANCHORARRAY($J$31),$B36^{1,0})</f>
        <v>-3027.0240268390044</v>
      </c>
      <c r="D36" s="85" cm="1">
        <f t="array" ref="D36">SUMPRODUCT(_xlfn.ANCHORARRAY($J$32),$B36^{1,0})</f>
        <v>-2324.5444567819504</v>
      </c>
      <c r="E36" s="10" cm="1">
        <f t="array" ref="E36">SUMPRODUCT(_xlfn.ANCHORARRAY($J$33),$B36^{1,0})</f>
        <v>-1416.6672015301301</v>
      </c>
      <c r="F36" s="11" cm="1">
        <f t="array" ref="F36">SUMPRODUCT(_xlfn.ANCHORARRAY($J$34),$B36^{1,0})</f>
        <v>-240.60891823560814</v>
      </c>
      <c r="K36" s="68"/>
      <c r="L36" s="68"/>
    </row>
    <row r="37" spans="1:12" x14ac:dyDescent="0.25">
      <c r="K37" s="68"/>
      <c r="L37" s="68"/>
    </row>
    <row r="38" spans="1:12" x14ac:dyDescent="0.25">
      <c r="K38" s="68"/>
      <c r="L38" s="68"/>
    </row>
    <row r="39" spans="1:12" x14ac:dyDescent="0.25">
      <c r="K39" s="68"/>
      <c r="L39" s="68"/>
    </row>
  </sheetData>
  <mergeCells count="6">
    <mergeCell ref="B29:D29"/>
    <mergeCell ref="I16:L16"/>
    <mergeCell ref="I29:L29"/>
    <mergeCell ref="B28:K28"/>
    <mergeCell ref="I10:L10"/>
    <mergeCell ref="B19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313E-FEF7-4FF3-8083-EA7CAF24AA07}">
  <dimension ref="A2:N33"/>
  <sheetViews>
    <sheetView zoomScale="115" zoomScaleNormal="115" workbookViewId="0"/>
  </sheetViews>
  <sheetFormatPr defaultRowHeight="15" x14ac:dyDescent="0.25"/>
  <cols>
    <col min="1" max="1" width="4.140625" bestFit="1" customWidth="1"/>
    <col min="2" max="2" width="23.28515625" bestFit="1" customWidth="1"/>
    <col min="3" max="3" width="12" bestFit="1" customWidth="1"/>
    <col min="4" max="4" width="11.28515625" bestFit="1" customWidth="1"/>
    <col min="8" max="8" width="12.28515625" bestFit="1" customWidth="1"/>
    <col min="9" max="9" width="11.85546875" bestFit="1" customWidth="1"/>
    <col min="10" max="10" width="11.7109375" bestFit="1" customWidth="1"/>
    <col min="11" max="11" width="13.42578125" bestFit="1" customWidth="1"/>
    <col min="12" max="12" width="11.7109375" bestFit="1" customWidth="1"/>
  </cols>
  <sheetData>
    <row r="2" spans="1:12" ht="15.75" thickBot="1" x14ac:dyDescent="0.3">
      <c r="B2" s="72" t="s">
        <v>6</v>
      </c>
      <c r="C2">
        <v>0</v>
      </c>
      <c r="D2">
        <v>50</v>
      </c>
      <c r="E2">
        <v>100</v>
      </c>
      <c r="F2">
        <v>150</v>
      </c>
      <c r="G2">
        <v>200</v>
      </c>
      <c r="H2">
        <v>250</v>
      </c>
      <c r="I2">
        <v>300</v>
      </c>
    </row>
    <row r="3" spans="1:12" ht="15.75" thickBot="1" x14ac:dyDescent="0.3">
      <c r="B3" s="1" t="s">
        <v>3</v>
      </c>
      <c r="C3" s="3">
        <f>C2/3.6</f>
        <v>0</v>
      </c>
      <c r="D3" s="15">
        <f t="shared" ref="D3:I3" si="0">D2/3.6</f>
        <v>13.888888888888889</v>
      </c>
      <c r="E3" s="15">
        <f t="shared" si="0"/>
        <v>27.777777777777779</v>
      </c>
      <c r="F3" s="15">
        <f t="shared" si="0"/>
        <v>41.666666666666664</v>
      </c>
      <c r="G3" s="15">
        <f t="shared" si="0"/>
        <v>55.555555555555557</v>
      </c>
      <c r="H3" s="15">
        <f t="shared" si="0"/>
        <v>69.444444444444443</v>
      </c>
      <c r="I3" s="5">
        <f t="shared" si="0"/>
        <v>83.333333333333329</v>
      </c>
    </row>
    <row r="4" spans="1:12" x14ac:dyDescent="0.25">
      <c r="B4" s="60">
        <v>0</v>
      </c>
      <c r="C4" s="6">
        <v>0.35347000000000001</v>
      </c>
      <c r="D4" s="13">
        <f>$C$4+(D5-$C$5)</f>
        <v>0.35370000000000001</v>
      </c>
      <c r="E4" s="13">
        <f t="shared" ref="E4:I4" si="1">$C$4+(E5-$C$5)</f>
        <v>0.35410000000000003</v>
      </c>
      <c r="F4" s="13">
        <f t="shared" si="1"/>
        <v>0.35489999999999999</v>
      </c>
      <c r="G4" s="13">
        <f t="shared" si="1"/>
        <v>0.35610000000000003</v>
      </c>
      <c r="H4" s="13">
        <f t="shared" si="1"/>
        <v>0.35820000000000002</v>
      </c>
      <c r="I4" s="31">
        <f t="shared" si="1"/>
        <v>0.36033500000000002</v>
      </c>
    </row>
    <row r="5" spans="1:12" x14ac:dyDescent="0.25">
      <c r="B5" s="61">
        <v>2000</v>
      </c>
      <c r="C5" s="6">
        <f>C4-0.0075</f>
        <v>0.34597</v>
      </c>
      <c r="D5" s="7">
        <v>0.34620000000000001</v>
      </c>
      <c r="E5" s="7">
        <v>0.34660000000000002</v>
      </c>
      <c r="F5" s="71">
        <v>0.34739999999999999</v>
      </c>
      <c r="G5" s="71">
        <v>0.34860000000000002</v>
      </c>
      <c r="H5" s="71">
        <v>0.35070000000000001</v>
      </c>
      <c r="I5" s="8">
        <v>0.35283500000000001</v>
      </c>
    </row>
    <row r="6" spans="1:12" x14ac:dyDescent="0.25">
      <c r="B6" s="62">
        <v>4000</v>
      </c>
      <c r="C6" s="6">
        <f>C4-0.014</f>
        <v>0.33946999999999999</v>
      </c>
      <c r="D6" s="7">
        <v>0.3397</v>
      </c>
      <c r="E6" s="7">
        <v>0.34039999999999998</v>
      </c>
      <c r="F6" s="71">
        <v>0.34179999999999999</v>
      </c>
      <c r="G6" s="71">
        <v>0.34310000000000002</v>
      </c>
      <c r="H6" s="71">
        <v>0.34460000000000002</v>
      </c>
      <c r="I6" s="8">
        <v>0.34669500000000003</v>
      </c>
    </row>
    <row r="7" spans="1:12" ht="15.75" thickBot="1" x14ac:dyDescent="0.3">
      <c r="B7" s="63">
        <v>6000</v>
      </c>
      <c r="C7" s="9">
        <f>C4-0.0205</f>
        <v>0.33296999999999999</v>
      </c>
      <c r="D7" s="10">
        <v>0.33329999999999999</v>
      </c>
      <c r="E7" s="10">
        <v>0.3337</v>
      </c>
      <c r="F7" s="10">
        <v>0.33450000000000002</v>
      </c>
      <c r="G7" s="10">
        <v>0.33560000000000001</v>
      </c>
      <c r="H7" s="10">
        <v>0.33750000000000002</v>
      </c>
      <c r="I7" s="11">
        <v>0.33940500000000001</v>
      </c>
    </row>
    <row r="14" spans="1:12" ht="15.75" thickBot="1" x14ac:dyDescent="0.3">
      <c r="B14" s="72" t="s">
        <v>6</v>
      </c>
    </row>
    <row r="15" spans="1:12" ht="15.75" thickBot="1" x14ac:dyDescent="0.3">
      <c r="B15" s="1" t="s">
        <v>3</v>
      </c>
      <c r="C15" s="22">
        <v>0</v>
      </c>
      <c r="D15" s="23">
        <v>2000</v>
      </c>
      <c r="E15" s="24">
        <v>4000</v>
      </c>
      <c r="F15" s="25">
        <v>6000</v>
      </c>
      <c r="I15" s="107" t="s">
        <v>8</v>
      </c>
      <c r="J15" s="107"/>
      <c r="K15" s="107"/>
      <c r="L15" s="107"/>
    </row>
    <row r="16" spans="1:12" x14ac:dyDescent="0.25">
      <c r="A16">
        <v>0</v>
      </c>
      <c r="B16" s="100">
        <f t="shared" ref="B16:B22" si="2">A16/3.6</f>
        <v>0</v>
      </c>
      <c r="C16" s="91">
        <v>0.35347000000000001</v>
      </c>
      <c r="D16" s="92">
        <f>C16-0.0075</f>
        <v>0.34597</v>
      </c>
      <c r="E16" s="92">
        <f>C16-0.014</f>
        <v>0.33946999999999999</v>
      </c>
      <c r="F16" s="93">
        <f>C16-0.0205</f>
        <v>0.33296999999999999</v>
      </c>
      <c r="J16" s="19" t="s">
        <v>7</v>
      </c>
      <c r="K16" s="21" t="s">
        <v>9</v>
      </c>
      <c r="L16" s="21" t="s">
        <v>10</v>
      </c>
    </row>
    <row r="17" spans="1:14" x14ac:dyDescent="0.25">
      <c r="A17">
        <v>50</v>
      </c>
      <c r="B17" s="101">
        <f t="shared" si="2"/>
        <v>13.888888888888889</v>
      </c>
      <c r="C17" s="94">
        <f t="shared" ref="C17:C22" si="3">$C$16+(D17-$D$16)</f>
        <v>0.35370000000000001</v>
      </c>
      <c r="D17" s="95">
        <v>0.34620000000000001</v>
      </c>
      <c r="E17" s="95">
        <v>0.3397</v>
      </c>
      <c r="F17" s="96">
        <v>0.33329999999999999</v>
      </c>
      <c r="I17" s="34" t="s">
        <v>16</v>
      </c>
      <c r="J17" s="37" cm="1">
        <f t="array" ref="J17:L17">LINEST(D16:D21,B16:B21^{1,2},TRUE,FALSE)</f>
        <v>1.1617714285714291E-6</v>
      </c>
      <c r="K17" s="38">
        <v>-1.5569999999999903E-5</v>
      </c>
      <c r="L17" s="39">
        <v>0.34606464285714283</v>
      </c>
    </row>
    <row r="18" spans="1:14" x14ac:dyDescent="0.25">
      <c r="A18">
        <v>100</v>
      </c>
      <c r="B18" s="101">
        <f t="shared" si="2"/>
        <v>27.777777777777779</v>
      </c>
      <c r="C18" s="94">
        <f t="shared" si="3"/>
        <v>0.35410000000000003</v>
      </c>
      <c r="D18" s="95">
        <v>0.34660000000000002</v>
      </c>
      <c r="E18" s="95">
        <v>0.34039999999999998</v>
      </c>
      <c r="F18" s="96">
        <v>0.3337</v>
      </c>
      <c r="I18" s="35" t="s">
        <v>17</v>
      </c>
      <c r="J18" s="40" cm="1">
        <f t="array" ref="J18:L18">LINEST(E16:E21,B16:B21^{1,2},TRUE,FALSE)</f>
        <v>8.1000000000001416E-7</v>
      </c>
      <c r="K18" s="41">
        <v>2.0378571428570806E-5</v>
      </c>
      <c r="L18" s="42">
        <v>0.33937178571428572</v>
      </c>
    </row>
    <row r="19" spans="1:14" x14ac:dyDescent="0.25">
      <c r="A19">
        <v>150</v>
      </c>
      <c r="B19" s="101">
        <f t="shared" si="2"/>
        <v>41.666666666666664</v>
      </c>
      <c r="C19" s="94">
        <f t="shared" si="3"/>
        <v>0.35489999999999999</v>
      </c>
      <c r="D19" s="33">
        <v>0.34739999999999999</v>
      </c>
      <c r="E19" s="33">
        <v>0.34179999999999999</v>
      </c>
      <c r="F19" s="96">
        <v>0.33450000000000002</v>
      </c>
      <c r="I19" s="36" t="s">
        <v>1</v>
      </c>
      <c r="J19" s="43" cm="1">
        <f t="array" ref="J19:L19">LINEST(F16:F21,B16:B21^{1,2},TRUE,FALSE)</f>
        <v>9.8588571428571397E-7</v>
      </c>
      <c r="K19" s="44">
        <v>-6.0299999999994188E-6</v>
      </c>
      <c r="L19" s="45">
        <v>0.33306107142857139</v>
      </c>
    </row>
    <row r="20" spans="1:14" x14ac:dyDescent="0.25">
      <c r="A20">
        <v>200</v>
      </c>
      <c r="B20" s="101">
        <f t="shared" si="2"/>
        <v>55.555555555555557</v>
      </c>
      <c r="C20" s="94">
        <f t="shared" si="3"/>
        <v>0.35610000000000003</v>
      </c>
      <c r="D20" s="33">
        <v>0.34860000000000002</v>
      </c>
      <c r="E20" s="33">
        <v>0.34310000000000002</v>
      </c>
      <c r="F20" s="96">
        <v>0.33560000000000001</v>
      </c>
    </row>
    <row r="21" spans="1:14" x14ac:dyDescent="0.25">
      <c r="A21">
        <v>250</v>
      </c>
      <c r="B21" s="101">
        <f t="shared" si="2"/>
        <v>69.444444444444443</v>
      </c>
      <c r="C21" s="94">
        <f t="shared" si="3"/>
        <v>0.35820000000000002</v>
      </c>
      <c r="D21" s="33">
        <v>0.35070000000000001</v>
      </c>
      <c r="E21" s="33">
        <v>0.34460000000000002</v>
      </c>
      <c r="F21" s="96">
        <v>0.33750000000000002</v>
      </c>
    </row>
    <row r="22" spans="1:14" ht="15.75" thickBot="1" x14ac:dyDescent="0.3">
      <c r="A22">
        <v>300</v>
      </c>
      <c r="B22" s="102">
        <f t="shared" si="2"/>
        <v>83.333333333333329</v>
      </c>
      <c r="C22" s="97">
        <f t="shared" si="3"/>
        <v>0.36033500000000002</v>
      </c>
      <c r="D22" s="98" cm="1">
        <f t="array" ref="D22">SUMPRODUCT(_xlfn.ANCHORARRAY($J$17),B22^{2,1,0})</f>
        <v>0.35283500000000001</v>
      </c>
      <c r="E22" s="98" cm="1">
        <f t="array" ref="E22">SUMPRODUCT(_xlfn.ANCHORARRAY($J$18),B22^{2,1,0})</f>
        <v>0.34669500000000003</v>
      </c>
      <c r="F22" s="99" cm="1">
        <f t="array" ref="F22">SUMPRODUCT(_xlfn.ANCHORARRAY(J19),B22^{2,1,0})</f>
        <v>0.33940500000000001</v>
      </c>
    </row>
    <row r="25" spans="1:14" x14ac:dyDescent="0.25">
      <c r="I25" s="105" t="s">
        <v>11</v>
      </c>
      <c r="J25" s="105"/>
      <c r="K25" s="105"/>
      <c r="L25" s="69"/>
      <c r="M25" s="69"/>
      <c r="N25" s="69"/>
    </row>
    <row r="26" spans="1:14" ht="15.75" thickBot="1" x14ac:dyDescent="0.3">
      <c r="B26" s="104" t="s">
        <v>4</v>
      </c>
      <c r="C26" s="104"/>
      <c r="D26" s="104"/>
      <c r="J26" s="52" t="s">
        <v>9</v>
      </c>
      <c r="K26" s="52" t="s">
        <v>10</v>
      </c>
      <c r="L26" s="76" t="s">
        <v>18</v>
      </c>
    </row>
    <row r="27" spans="1:14" ht="15.75" thickBot="1" x14ac:dyDescent="0.3">
      <c r="B27" t="s">
        <v>5</v>
      </c>
      <c r="C27" s="87">
        <v>0</v>
      </c>
      <c r="D27" s="88">
        <f>100/3.6</f>
        <v>27.777777777777779</v>
      </c>
      <c r="E27" s="89">
        <f>200/3.6</f>
        <v>55.555555555555557</v>
      </c>
      <c r="F27" s="90">
        <f>300/3.6</f>
        <v>83.333333333333329</v>
      </c>
      <c r="H27" s="70" t="s">
        <v>12</v>
      </c>
      <c r="I27" s="51">
        <v>0</v>
      </c>
      <c r="J27" s="73" cm="1">
        <f t="array" ref="J27:K27">LINEST(B4:B7,C4:C7,TRUE,FALSE)</f>
        <v>-293736.5010799134</v>
      </c>
      <c r="K27" s="74">
        <v>103742.80777537789</v>
      </c>
      <c r="L27" s="77">
        <v>0.99870000000000003</v>
      </c>
    </row>
    <row r="28" spans="1:14" x14ac:dyDescent="0.25">
      <c r="A28">
        <v>0</v>
      </c>
      <c r="B28" s="16">
        <v>0.33200000000000002</v>
      </c>
      <c r="C28" s="78" cm="1">
        <f t="array" ref="C28">SUMPRODUCT(_xlfn.ANCHORARRAY($J$27)*$B28^{1,0})</f>
        <v>6222.2894168466446</v>
      </c>
      <c r="D28" s="79" cm="1">
        <f t="array" ref="D28">SUMPRODUCT(_xlfn.ANCHORARRAY($J$28)*$B28^{1,0})</f>
        <v>6466.8952782906854</v>
      </c>
      <c r="E28" s="79" cm="1">
        <f t="array" ref="E28">SUMPRODUCT(_xlfn.ANCHORARRAY($J$29)*$B28^{1,0})</f>
        <v>7119.644839067696</v>
      </c>
      <c r="F28" s="80" cm="1">
        <f t="array" ref="F28">SUMPRODUCT(_xlfn.ANCHORARRAY($J$30)*$B28^{1,0})</f>
        <v>8162.652349041804</v>
      </c>
      <c r="H28" s="70" t="s">
        <v>13</v>
      </c>
      <c r="I28" s="51">
        <f>100/3.6</f>
        <v>27.777777777777779</v>
      </c>
      <c r="J28" s="73" cm="1">
        <f t="array" ref="J28:K28">LINEST(B4:B7,E4:E7,TRUE,FALSE)</f>
        <v>-296315.83575134038</v>
      </c>
      <c r="K28" s="74">
        <v>104843.75274773569</v>
      </c>
      <c r="L28" s="77">
        <v>0.99860000000000004</v>
      </c>
    </row>
    <row r="29" spans="1:14" x14ac:dyDescent="0.25">
      <c r="A29">
        <v>1</v>
      </c>
      <c r="B29" s="17">
        <f>$B$28+($B$33-$B$28)/5*A29</f>
        <v>0.33779999999999999</v>
      </c>
      <c r="C29" s="81" cm="1">
        <f t="array" ref="C29">SUMPRODUCT(_xlfn.ANCHORARRAY($J$27)*$B29^{1,0})</f>
        <v>4518.6177105831448</v>
      </c>
      <c r="D29" s="82" cm="1">
        <f t="array" ref="D29">SUMPRODUCT(_xlfn.ANCHORARRAY($J$28)*$B29^{1,0})</f>
        <v>4748.2634309329151</v>
      </c>
      <c r="E29" s="82" cm="1">
        <f t="array" ref="E29">SUMPRODUCT(_xlfn.ANCHORARRAY($J$29)*$B29^{1,0})</f>
        <v>5394.4506104328466</v>
      </c>
      <c r="F29" s="83" cm="1">
        <f t="array" ref="F29">SUMPRODUCT(_xlfn.ANCHORARRAY($J$30)*$B29^{1,0})</f>
        <v>6482.0920221473352</v>
      </c>
      <c r="H29" s="70" t="s">
        <v>14</v>
      </c>
      <c r="I29" s="51">
        <f>200/3.6</f>
        <v>55.555555555555557</v>
      </c>
      <c r="J29" s="73" cm="1">
        <f t="array" ref="J29:K29">LINEST(B4:B7,G4:G7,TRUE,FALSE)</f>
        <v>-297447.28079911182</v>
      </c>
      <c r="K29" s="75">
        <v>105872.14206437282</v>
      </c>
      <c r="L29" s="77">
        <v>0.99639999999999995</v>
      </c>
    </row>
    <row r="30" spans="1:14" x14ac:dyDescent="0.25">
      <c r="A30">
        <v>2</v>
      </c>
      <c r="B30" s="17">
        <f t="shared" ref="B30:B32" si="4">$B$28+($B$33-$B$28)/5*A30</f>
        <v>0.34360000000000002</v>
      </c>
      <c r="C30" s="81" cm="1">
        <f t="array" ref="C30">SUMPRODUCT(_xlfn.ANCHORARRAY($J$27)*$B30^{1,0})</f>
        <v>2814.946004319645</v>
      </c>
      <c r="D30" s="82" cm="1">
        <f t="array" ref="D30">SUMPRODUCT(_xlfn.ANCHORARRAY($J$28)*$B30^{1,0})</f>
        <v>3029.6315835751302</v>
      </c>
      <c r="E30" s="82" cm="1">
        <f t="array" ref="E30">SUMPRODUCT(_xlfn.ANCHORARRAY($J$29)*$B30^{1,0})</f>
        <v>3669.2563817979972</v>
      </c>
      <c r="F30" s="83" cm="1">
        <f t="array" ref="F30">SUMPRODUCT(_xlfn.ANCHORARRAY($J$30)*$B30^{1,0})</f>
        <v>4801.5316952528374</v>
      </c>
      <c r="H30" s="70" t="s">
        <v>15</v>
      </c>
      <c r="I30" s="51">
        <f>300/3.6</f>
        <v>83.333333333333329</v>
      </c>
      <c r="J30" s="73" cm="1">
        <f t="array" ref="J30:K30">LINEST(B4:B7,I4:I7,TRUE,FALSE)</f>
        <v>-289751.7804990494</v>
      </c>
      <c r="K30" s="75">
        <v>104360.24347472622</v>
      </c>
      <c r="L30" s="77">
        <v>0.99860000000000004</v>
      </c>
    </row>
    <row r="31" spans="1:14" x14ac:dyDescent="0.25">
      <c r="A31">
        <v>3</v>
      </c>
      <c r="B31" s="17">
        <f t="shared" si="4"/>
        <v>0.34939999999999999</v>
      </c>
      <c r="C31" s="81" cm="1">
        <f t="array" ref="C31">SUMPRODUCT(_xlfn.ANCHORARRAY($J$27)*$B31^{1,0})</f>
        <v>1111.2742980561598</v>
      </c>
      <c r="D31" s="82" cm="1">
        <f t="array" ref="D31">SUMPRODUCT(_xlfn.ANCHORARRAY($J$28)*$B31^{1,0})</f>
        <v>1310.9997362173744</v>
      </c>
      <c r="E31" s="82" cm="1">
        <f t="array" ref="E31">SUMPRODUCT(_xlfn.ANCHORARRAY($J$29)*$B31^{1,0})</f>
        <v>1944.0621531631477</v>
      </c>
      <c r="F31" s="83" cm="1">
        <f t="array" ref="F31">SUMPRODUCT(_xlfn.ANCHORARRAY($J$30)*$B31^{1,0})</f>
        <v>3120.9713683583541</v>
      </c>
    </row>
    <row r="32" spans="1:14" x14ac:dyDescent="0.25">
      <c r="A32">
        <v>4</v>
      </c>
      <c r="B32" s="17">
        <f t="shared" si="4"/>
        <v>0.35520000000000002</v>
      </c>
      <c r="C32" s="81" cm="1">
        <f t="array" ref="C32">SUMPRODUCT(_xlfn.ANCHORARRAY($J$27)*$B32^{1,0})</f>
        <v>-592.3974082073546</v>
      </c>
      <c r="D32" s="82" cm="1">
        <f t="array" ref="D32">SUMPRODUCT(_xlfn.ANCHORARRAY($J$28)*$B32^{1,0})</f>
        <v>-407.63211114041042</v>
      </c>
      <c r="E32" s="82" cm="1">
        <f t="array" ref="E32">SUMPRODUCT(_xlfn.ANCHORARRAY($J$29)*$B32^{1,0})</f>
        <v>218.86792452829832</v>
      </c>
      <c r="F32" s="83" cm="1">
        <f t="array" ref="F32">SUMPRODUCT(_xlfn.ANCHORARRAY($J$30)*$B32^{1,0})</f>
        <v>1440.4110414638562</v>
      </c>
    </row>
    <row r="33" spans="1:6" ht="15.75" thickBot="1" x14ac:dyDescent="0.3">
      <c r="A33">
        <v>5</v>
      </c>
      <c r="B33" s="18">
        <v>0.36099999999999999</v>
      </c>
      <c r="C33" s="84" cm="1">
        <f t="array" ref="C33">SUMPRODUCT(_xlfn.ANCHORARRAY($J$27)*$B33^{1,0})</f>
        <v>-2296.0691144708398</v>
      </c>
      <c r="D33" s="85" cm="1">
        <f t="array" ref="D33">SUMPRODUCT(_xlfn.ANCHORARRAY($J$28)*$B33^{1,0})</f>
        <v>-2126.2639584981807</v>
      </c>
      <c r="E33" s="85" cm="1">
        <f t="array" ref="E33">SUMPRODUCT(_xlfn.ANCHORARRAY($J$29)*$B33^{1,0})</f>
        <v>-1506.3263041065366</v>
      </c>
      <c r="F33" s="86" cm="1">
        <f t="array" ref="F33">SUMPRODUCT(_xlfn.ANCHORARRAY($J$30)*$B33^{1,0})</f>
        <v>-240.14928543061251</v>
      </c>
    </row>
  </sheetData>
  <mergeCells count="3">
    <mergeCell ref="I15:L15"/>
    <mergeCell ref="B26:D26"/>
    <mergeCell ref="I25:K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Front_30_68</vt:lpstr>
      <vt:lpstr>Rear_31_71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2021-10-06T07:56:01Z</dcterms:created>
  <dcterms:modified xsi:type="dcterms:W3CDTF">2021-11-19T17:05:01Z</dcterms:modified>
</cp:coreProperties>
</file>