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Paganini\Desktop\Utilità_Giornaliera\Knowledge_Vehicle Dynamics\Dampers\"/>
    </mc:Choice>
  </mc:AlternateContent>
  <xr:revisionPtr revIDLastSave="0" documentId="8_{1C6C8C3C-A6F0-40CA-BE7F-A58C8C4087AB}" xr6:coauthVersionLast="45" xr6:coauthVersionMax="45" xr10:uidLastSave="{00000000-0000-0000-0000-000000000000}"/>
  <bookViews>
    <workbookView xWindow="-108" yWindow="-108" windowWidth="23256" windowHeight="12576" tabRatio="763" activeTab="1" xr2:uid="{165304B1-8AAC-4750-9FA0-759508039464}"/>
  </bookViews>
  <sheets>
    <sheet name="Postrig tests (r05)" sheetId="15" r:id="rId1"/>
    <sheet name="Input data" sheetId="1" r:id="rId2"/>
    <sheet name="Summary-80" sheetId="12" r:id="rId3"/>
    <sheet name="Summary-160" sheetId="17" r:id="rId4"/>
    <sheet name="Summary-240" sheetId="13" r:id="rId5"/>
    <sheet name="Summary-320" sheetId="14" r:id="rId6"/>
    <sheet name="Heave mode" sheetId="2" r:id="rId7"/>
    <sheet name="Roll mode" sheetId="3" r:id="rId8"/>
    <sheet name="Pitch mode" sheetId="4" r:id="rId9"/>
    <sheet name="Base setup - First Request" sheetId="11" r:id="rId10"/>
    <sheet name="Postrig tests" sheetId="8" r:id="rId11"/>
    <sheet name="Damping ratio FRF" sheetId="5" r:id="rId12"/>
    <sheet name="Sheet4" sheetId="19" r:id="rId13"/>
  </sheets>
  <definedNames>
    <definedName name="AVG_track">'Input data'!$H$17</definedName>
    <definedName name="central_damp_f">'Input data'!$C$36</definedName>
    <definedName name="central_damp_r">'Input data'!$C$37</definedName>
    <definedName name="CoG_h">'Input data'!$C$5</definedName>
    <definedName name="CoG_RC_arm_length">'Input data'!$H$7</definedName>
    <definedName name="Damping_balance">'Input data'!$E$34</definedName>
    <definedName name="front_ELASTIC_roll_stiff_bal">'Input data'!$H$12</definedName>
    <definedName name="front_spr_mass">'Input data'!$H$3</definedName>
    <definedName name="heave_stiff_f_160">'Input data'!$C$23</definedName>
    <definedName name="heave_stiff_f_240">'Input data'!$C$25</definedName>
    <definedName name="heave_stiff_f_320">'Input data'!$C$27</definedName>
    <definedName name="heave_stiff_f_80">'Input data'!$C$21</definedName>
    <definedName name="heave_stiff_r_160">'Input data'!$C$24</definedName>
    <definedName name="heave_stiff_r_240">'Input data'!$C$26</definedName>
    <definedName name="heave_stiff_r_320">'Input data'!$C$28</definedName>
    <definedName name="heave_stiff_r_80">'Input data'!$C$22</definedName>
    <definedName name="lateral_damper_f">'Input data'!$C$34</definedName>
    <definedName name="lateral_damper_r">'Input data'!$C$35</definedName>
    <definedName name="min_heave_stiff_f">'Input data'!$C$19</definedName>
    <definedName name="min_heave_stiff_r">'Input data'!$C$20</definedName>
    <definedName name="Pitch_Iyy">'Input data'!$C$13</definedName>
    <definedName name="rear_spr_mass">'Input data'!$H$4</definedName>
    <definedName name="reb_to_comp">'Summary-160'!$I$7</definedName>
    <definedName name="RG_all_car">'Input data'!$H$11</definedName>
    <definedName name="RG_sprung">'Input data'!$H$10</definedName>
    <definedName name="roll_axis_below_Cog">'Input data'!$H$6</definedName>
    <definedName name="Roll_Ixx">'Input data'!$C$14</definedName>
    <definedName name="roll_stiff_f">'Input data'!$C$30</definedName>
    <definedName name="roll_stiff_r">'Input data'!$C$31</definedName>
    <definedName name="Sprung_Mass">'Input data'!$C$3</definedName>
    <definedName name="total_roll_stiff">'Input data'!$H$9</definedName>
    <definedName name="Track_front">'Input data'!$C$10</definedName>
    <definedName name="Track_rear">'Input data'!$C$11</definedName>
    <definedName name="Unspr_mass_f_corner">'Input data'!$C$16</definedName>
    <definedName name="Unspr_mass_r_coner">'Input data'!$C$17</definedName>
    <definedName name="W_front">'Input data'!$C$4</definedName>
    <definedName name="Wheelbase">'Input data'!$C$9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4" l="1"/>
  <c r="E26" i="14"/>
  <c r="F26" i="14"/>
  <c r="C26" i="14"/>
  <c r="D25" i="14"/>
  <c r="E25" i="14"/>
  <c r="F25" i="14"/>
  <c r="C25" i="14"/>
  <c r="D26" i="13"/>
  <c r="E26" i="13"/>
  <c r="F26" i="13"/>
  <c r="C26" i="13"/>
  <c r="D25" i="13"/>
  <c r="E25" i="13"/>
  <c r="F25" i="13"/>
  <c r="D26" i="17"/>
  <c r="E26" i="17"/>
  <c r="F26" i="17"/>
  <c r="D25" i="17"/>
  <c r="E25" i="17"/>
  <c r="F25" i="17"/>
  <c r="D26" i="12"/>
  <c r="E26" i="12"/>
  <c r="F26" i="12"/>
  <c r="C26" i="12"/>
  <c r="C25" i="13"/>
  <c r="D25" i="12"/>
  <c r="E25" i="12"/>
  <c r="F25" i="12"/>
  <c r="C25" i="12"/>
  <c r="C26" i="17"/>
  <c r="C22" i="3" l="1"/>
  <c r="C16" i="3"/>
  <c r="C15" i="3"/>
  <c r="C13" i="3"/>
  <c r="C12" i="3"/>
  <c r="C8" i="3"/>
  <c r="C25" i="17"/>
  <c r="C16" i="17"/>
  <c r="C5" i="17"/>
  <c r="D5" i="17" s="1"/>
  <c r="C4" i="17"/>
  <c r="O15" i="17"/>
  <c r="N15" i="17"/>
  <c r="M15" i="17"/>
  <c r="L15" i="17"/>
  <c r="K15" i="17"/>
  <c r="K13" i="17"/>
  <c r="S9" i="17"/>
  <c r="S8" i="17" s="1"/>
  <c r="K8" i="17"/>
  <c r="K17" i="17" s="1"/>
  <c r="E8" i="17"/>
  <c r="F8" i="17" s="1"/>
  <c r="C8" i="17"/>
  <c r="O7" i="17" s="1"/>
  <c r="U7" i="17"/>
  <c r="S7" i="17"/>
  <c r="K7" i="17"/>
  <c r="K16" i="17" s="1"/>
  <c r="E7" i="17"/>
  <c r="F7" i="17" s="1"/>
  <c r="C7" i="17"/>
  <c r="D7" i="17" s="1"/>
  <c r="W6" i="17"/>
  <c r="V6" i="17"/>
  <c r="U6" i="17"/>
  <c r="T6" i="17"/>
  <c r="S5" i="17"/>
  <c r="O5" i="17"/>
  <c r="O4" i="17" s="1"/>
  <c r="M5" i="17"/>
  <c r="K5" i="17"/>
  <c r="K14" i="17" s="1"/>
  <c r="E5" i="17"/>
  <c r="F5" i="17" s="1"/>
  <c r="K4" i="17"/>
  <c r="E4" i="17"/>
  <c r="E11" i="17" s="1"/>
  <c r="E20" i="17" s="1"/>
  <c r="S3" i="17"/>
  <c r="S4" i="17" s="1"/>
  <c r="H15" i="1"/>
  <c r="H14" i="1"/>
  <c r="H17" i="1"/>
  <c r="C11" i="17" l="1"/>
  <c r="M4" i="17"/>
  <c r="F12" i="17"/>
  <c r="F21" i="17" s="1"/>
  <c r="F17" i="17"/>
  <c r="C20" i="17"/>
  <c r="C30" i="17" s="1"/>
  <c r="G11" i="17"/>
  <c r="O8" i="17"/>
  <c r="O16" i="17"/>
  <c r="W5" i="17"/>
  <c r="W9" i="17"/>
  <c r="O13" i="17"/>
  <c r="M14" i="17"/>
  <c r="F4" i="17"/>
  <c r="N5" i="17"/>
  <c r="L7" i="17"/>
  <c r="W7" i="17"/>
  <c r="W8" i="17" s="1"/>
  <c r="C17" i="17"/>
  <c r="M7" i="17"/>
  <c r="C12" i="17"/>
  <c r="O14" i="17"/>
  <c r="E16" i="17"/>
  <c r="L5" i="17"/>
  <c r="N7" i="17"/>
  <c r="D8" i="17"/>
  <c r="D12" i="17" s="1"/>
  <c r="D21" i="17" s="1"/>
  <c r="D31" i="17" s="1"/>
  <c r="E17" i="17"/>
  <c r="E12" i="17"/>
  <c r="E21" i="17" s="1"/>
  <c r="C14" i="17"/>
  <c r="C23" i="17" s="1"/>
  <c r="C33" i="17" s="1"/>
  <c r="D4" i="17"/>
  <c r="C25" i="2"/>
  <c r="C24" i="2"/>
  <c r="C23" i="2"/>
  <c r="C22" i="2"/>
  <c r="C21" i="2"/>
  <c r="C5" i="3"/>
  <c r="F16" i="17" l="1"/>
  <c r="F11" i="17"/>
  <c r="F20" i="17" s="1"/>
  <c r="D14" i="17"/>
  <c r="D23" i="17" s="1"/>
  <c r="D33" i="17" s="1"/>
  <c r="D11" i="17"/>
  <c r="D20" i="17" s="1"/>
  <c r="D30" i="17" s="1"/>
  <c r="D16" i="17"/>
  <c r="G12" i="17"/>
  <c r="C21" i="17"/>
  <c r="C31" i="17" s="1"/>
  <c r="W3" i="17"/>
  <c r="W4" i="17" s="1"/>
  <c r="O17" i="17"/>
  <c r="U5" i="17"/>
  <c r="M16" i="17"/>
  <c r="M8" i="17"/>
  <c r="N8" i="17"/>
  <c r="V5" i="17"/>
  <c r="N16" i="17"/>
  <c r="L16" i="17"/>
  <c r="T5" i="17"/>
  <c r="L8" i="17"/>
  <c r="D17" i="17"/>
  <c r="T7" i="17"/>
  <c r="L4" i="17"/>
  <c r="L14" i="17"/>
  <c r="N4" i="17"/>
  <c r="N14" i="17"/>
  <c r="V7" i="17"/>
  <c r="U9" i="17"/>
  <c r="U8" i="17" s="1"/>
  <c r="M13" i="17"/>
  <c r="O15" i="14"/>
  <c r="N15" i="14"/>
  <c r="M15" i="14"/>
  <c r="L15" i="14"/>
  <c r="K15" i="14"/>
  <c r="K14" i="14"/>
  <c r="K13" i="14"/>
  <c r="S9" i="14"/>
  <c r="K8" i="14"/>
  <c r="K17" i="14" s="1"/>
  <c r="E8" i="14"/>
  <c r="C8" i="14"/>
  <c r="D8" i="14" s="1"/>
  <c r="S7" i="14"/>
  <c r="S8" i="14" s="1"/>
  <c r="K7" i="14"/>
  <c r="K16" i="14" s="1"/>
  <c r="E7" i="14"/>
  <c r="C7" i="14"/>
  <c r="N7" i="14" s="1"/>
  <c r="W6" i="14"/>
  <c r="V6" i="14"/>
  <c r="U6" i="14"/>
  <c r="T6" i="14"/>
  <c r="S5" i="14"/>
  <c r="K5" i="14"/>
  <c r="E5" i="14"/>
  <c r="M5" i="14" s="1"/>
  <c r="C5" i="14"/>
  <c r="D5" i="14" s="1"/>
  <c r="K4" i="14"/>
  <c r="E4" i="14"/>
  <c r="C4" i="14"/>
  <c r="L7" i="14" s="1"/>
  <c r="S3" i="14"/>
  <c r="S4" i="14" s="1"/>
  <c r="O15" i="13"/>
  <c r="N15" i="13"/>
  <c r="M15" i="13"/>
  <c r="L15" i="13"/>
  <c r="K15" i="13"/>
  <c r="K14" i="13"/>
  <c r="K13" i="13"/>
  <c r="S9" i="13"/>
  <c r="K8" i="13"/>
  <c r="K17" i="13" s="1"/>
  <c r="E8" i="13"/>
  <c r="F8" i="13" s="1"/>
  <c r="C8" i="13"/>
  <c r="D8" i="13" s="1"/>
  <c r="S7" i="13"/>
  <c r="S8" i="13" s="1"/>
  <c r="K7" i="13"/>
  <c r="K16" i="13" s="1"/>
  <c r="E7" i="13"/>
  <c r="C7" i="13"/>
  <c r="N7" i="13" s="1"/>
  <c r="W6" i="13"/>
  <c r="V6" i="13"/>
  <c r="U6" i="13"/>
  <c r="T6" i="13"/>
  <c r="S5" i="13"/>
  <c r="K5" i="13"/>
  <c r="E5" i="13"/>
  <c r="F5" i="13" s="1"/>
  <c r="C5" i="13"/>
  <c r="D5" i="13" s="1"/>
  <c r="S4" i="13"/>
  <c r="K4" i="13"/>
  <c r="E4" i="13"/>
  <c r="C4" i="13"/>
  <c r="S3" i="13"/>
  <c r="K17" i="12"/>
  <c r="O15" i="12"/>
  <c r="N15" i="12"/>
  <c r="M15" i="12"/>
  <c r="L15" i="12"/>
  <c r="K15" i="12"/>
  <c r="K14" i="12"/>
  <c r="K13" i="12"/>
  <c r="S9" i="12"/>
  <c r="S8" i="12"/>
  <c r="K8" i="12"/>
  <c r="E8" i="12"/>
  <c r="C8" i="12"/>
  <c r="D8" i="12" s="1"/>
  <c r="S7" i="12"/>
  <c r="K7" i="12"/>
  <c r="K16" i="12" s="1"/>
  <c r="E7" i="12"/>
  <c r="C7" i="12"/>
  <c r="N7" i="12" s="1"/>
  <c r="W6" i="12"/>
  <c r="V6" i="12"/>
  <c r="U6" i="12"/>
  <c r="T6" i="12"/>
  <c r="S5" i="12"/>
  <c r="S4" i="12" s="1"/>
  <c r="K5" i="12"/>
  <c r="E5" i="12"/>
  <c r="F5" i="12" s="1"/>
  <c r="C5" i="12"/>
  <c r="M7" i="12" s="1"/>
  <c r="K4" i="12"/>
  <c r="E4" i="12"/>
  <c r="C4" i="12"/>
  <c r="S3" i="12"/>
  <c r="V9" i="17" l="1"/>
  <c r="N13" i="17"/>
  <c r="C36" i="17"/>
  <c r="F36" i="17" s="1"/>
  <c r="U3" i="17"/>
  <c r="U4" i="17" s="1"/>
  <c r="M17" i="17"/>
  <c r="D36" i="17"/>
  <c r="T3" i="17"/>
  <c r="T4" i="17" s="1"/>
  <c r="L17" i="17"/>
  <c r="V8" i="17"/>
  <c r="T9" i="17"/>
  <c r="T8" i="17" s="1"/>
  <c r="L13" i="17"/>
  <c r="V3" i="17"/>
  <c r="V4" i="17" s="1"/>
  <c r="N17" i="17"/>
  <c r="C35" i="17"/>
  <c r="F35" i="17" s="1"/>
  <c r="E12" i="13"/>
  <c r="E21" i="13" s="1"/>
  <c r="E17" i="12"/>
  <c r="E16" i="14"/>
  <c r="O7" i="13"/>
  <c r="O8" i="13" s="1"/>
  <c r="W3" i="13" s="1"/>
  <c r="O7" i="12"/>
  <c r="O8" i="12" s="1"/>
  <c r="W3" i="12" s="1"/>
  <c r="E12" i="14"/>
  <c r="E21" i="14" s="1"/>
  <c r="O7" i="14"/>
  <c r="O8" i="14" s="1"/>
  <c r="W3" i="14" s="1"/>
  <c r="D5" i="12"/>
  <c r="M8" i="12" s="1"/>
  <c r="E16" i="12"/>
  <c r="E16" i="13"/>
  <c r="E17" i="14"/>
  <c r="C14" i="12"/>
  <c r="C23" i="12" s="1"/>
  <c r="C33" i="12" s="1"/>
  <c r="C14" i="13"/>
  <c r="C23" i="13" s="1"/>
  <c r="C33" i="13" s="1"/>
  <c r="E12" i="12"/>
  <c r="E21" i="12" s="1"/>
  <c r="N5" i="14"/>
  <c r="N14" i="14" s="1"/>
  <c r="F7" i="14"/>
  <c r="L5" i="14"/>
  <c r="F4" i="14"/>
  <c r="L16" i="14"/>
  <c r="T5" i="14"/>
  <c r="U7" i="14"/>
  <c r="M14" i="14"/>
  <c r="V5" i="14"/>
  <c r="N16" i="14"/>
  <c r="F5" i="14"/>
  <c r="M4" i="14" s="1"/>
  <c r="D7" i="14"/>
  <c r="C11" i="14"/>
  <c r="C20" i="14" s="1"/>
  <c r="D4" i="14"/>
  <c r="F8" i="14"/>
  <c r="C16" i="14"/>
  <c r="E11" i="14"/>
  <c r="E20" i="14" s="1"/>
  <c r="C17" i="14"/>
  <c r="O5" i="14"/>
  <c r="M7" i="14"/>
  <c r="C14" i="14"/>
  <c r="C23" i="14" s="1"/>
  <c r="C33" i="14" s="1"/>
  <c r="C12" i="14"/>
  <c r="V5" i="13"/>
  <c r="N16" i="13"/>
  <c r="C16" i="13"/>
  <c r="L5" i="13"/>
  <c r="F4" i="13"/>
  <c r="F7" i="13"/>
  <c r="E11" i="13"/>
  <c r="E20" i="13" s="1"/>
  <c r="M5" i="13"/>
  <c r="C17" i="13"/>
  <c r="N5" i="13"/>
  <c r="L7" i="13"/>
  <c r="C12" i="13"/>
  <c r="E17" i="13"/>
  <c r="D4" i="13"/>
  <c r="D7" i="13"/>
  <c r="N8" i="13" s="1"/>
  <c r="C11" i="13"/>
  <c r="O5" i="13"/>
  <c r="M7" i="13"/>
  <c r="U5" i="12"/>
  <c r="M16" i="12"/>
  <c r="V5" i="12"/>
  <c r="N16" i="12"/>
  <c r="D4" i="12"/>
  <c r="D7" i="12"/>
  <c r="N8" i="12" s="1"/>
  <c r="C16" i="12"/>
  <c r="F4" i="12"/>
  <c r="L5" i="12"/>
  <c r="F7" i="12"/>
  <c r="E11" i="12"/>
  <c r="E20" i="12" s="1"/>
  <c r="C17" i="12"/>
  <c r="C11" i="12"/>
  <c r="M5" i="12"/>
  <c r="F8" i="12"/>
  <c r="N5" i="12"/>
  <c r="L7" i="12"/>
  <c r="C12" i="12"/>
  <c r="O5" i="12"/>
  <c r="D35" i="17" l="1"/>
  <c r="G11" i="12"/>
  <c r="G12" i="12"/>
  <c r="V7" i="14"/>
  <c r="O16" i="14"/>
  <c r="W5" i="12"/>
  <c r="O16" i="12"/>
  <c r="W5" i="14"/>
  <c r="W4" i="14" s="1"/>
  <c r="O17" i="12"/>
  <c r="F17" i="14"/>
  <c r="O17" i="14"/>
  <c r="O16" i="13"/>
  <c r="O17" i="13"/>
  <c r="W5" i="13"/>
  <c r="W4" i="13" s="1"/>
  <c r="F16" i="14"/>
  <c r="F12" i="14"/>
  <c r="F21" i="14" s="1"/>
  <c r="C21" i="12"/>
  <c r="C31" i="12" s="1"/>
  <c r="N4" i="14"/>
  <c r="C21" i="13"/>
  <c r="C31" i="13" s="1"/>
  <c r="C21" i="14"/>
  <c r="C31" i="14" s="1"/>
  <c r="C35" i="13"/>
  <c r="C36" i="14"/>
  <c r="L4" i="14"/>
  <c r="T7" i="14"/>
  <c r="C20" i="13"/>
  <c r="C30" i="13" s="1"/>
  <c r="C20" i="12"/>
  <c r="C30" i="12" s="1"/>
  <c r="C35" i="12"/>
  <c r="L14" i="14"/>
  <c r="U9" i="14"/>
  <c r="U8" i="14" s="1"/>
  <c r="M13" i="14"/>
  <c r="C30" i="14"/>
  <c r="D14" i="14"/>
  <c r="D23" i="14" s="1"/>
  <c r="D33" i="14" s="1"/>
  <c r="D16" i="14"/>
  <c r="D11" i="14"/>
  <c r="D12" i="14"/>
  <c r="D17" i="14"/>
  <c r="M8" i="14"/>
  <c r="M16" i="14"/>
  <c r="U5" i="14"/>
  <c r="L8" i="14"/>
  <c r="W7" i="14"/>
  <c r="O14" i="14"/>
  <c r="O4" i="14"/>
  <c r="F11" i="14"/>
  <c r="F20" i="14" s="1"/>
  <c r="N8" i="14"/>
  <c r="F16" i="13"/>
  <c r="F11" i="13"/>
  <c r="F20" i="13" s="1"/>
  <c r="T7" i="13"/>
  <c r="L4" i="13"/>
  <c r="L14" i="13"/>
  <c r="N4" i="13"/>
  <c r="V7" i="13"/>
  <c r="N14" i="13"/>
  <c r="L16" i="13"/>
  <c r="T5" i="13"/>
  <c r="L8" i="13"/>
  <c r="O4" i="13"/>
  <c r="W7" i="13"/>
  <c r="O14" i="13"/>
  <c r="D12" i="13"/>
  <c r="D21" i="13" s="1"/>
  <c r="D17" i="13"/>
  <c r="M4" i="13"/>
  <c r="U7" i="13"/>
  <c r="M14" i="13"/>
  <c r="M16" i="13"/>
  <c r="M8" i="13"/>
  <c r="U5" i="13"/>
  <c r="V3" i="13"/>
  <c r="V4" i="13" s="1"/>
  <c r="N17" i="13"/>
  <c r="D14" i="13"/>
  <c r="D23" i="13" s="1"/>
  <c r="D33" i="13" s="1"/>
  <c r="D16" i="13"/>
  <c r="D11" i="13"/>
  <c r="D20" i="13" s="1"/>
  <c r="F17" i="13"/>
  <c r="F12" i="13"/>
  <c r="F21" i="13" s="1"/>
  <c r="V3" i="12"/>
  <c r="V4" i="12" s="1"/>
  <c r="N17" i="12"/>
  <c r="F16" i="12"/>
  <c r="F11" i="12"/>
  <c r="F20" i="12" s="1"/>
  <c r="M4" i="12"/>
  <c r="U7" i="12"/>
  <c r="M14" i="12"/>
  <c r="L4" i="12"/>
  <c r="T7" i="12"/>
  <c r="L14" i="12"/>
  <c r="U3" i="12"/>
  <c r="U4" i="12" s="1"/>
  <c r="M17" i="12"/>
  <c r="D14" i="12"/>
  <c r="D23" i="12" s="1"/>
  <c r="D33" i="12" s="1"/>
  <c r="D16" i="12"/>
  <c r="D11" i="12"/>
  <c r="F17" i="12"/>
  <c r="F12" i="12"/>
  <c r="F21" i="12" s="1"/>
  <c r="N4" i="12"/>
  <c r="V7" i="12"/>
  <c r="N14" i="12"/>
  <c r="D12" i="12"/>
  <c r="D17" i="12"/>
  <c r="W7" i="12"/>
  <c r="O14" i="12"/>
  <c r="O4" i="12"/>
  <c r="L16" i="12"/>
  <c r="L8" i="12"/>
  <c r="T5" i="12"/>
  <c r="W4" i="12"/>
  <c r="C36" i="13" l="1"/>
  <c r="C36" i="12"/>
  <c r="C35" i="14"/>
  <c r="D21" i="12"/>
  <c r="D31" i="12" s="1"/>
  <c r="D21" i="14"/>
  <c r="D31" i="14" s="1"/>
  <c r="V9" i="14"/>
  <c r="V8" i="14" s="1"/>
  <c r="N13" i="14"/>
  <c r="T9" i="14"/>
  <c r="T8" i="14" s="1"/>
  <c r="L13" i="14"/>
  <c r="D20" i="14"/>
  <c r="D30" i="14" s="1"/>
  <c r="D35" i="14"/>
  <c r="D20" i="12"/>
  <c r="D30" i="12" s="1"/>
  <c r="V3" i="14"/>
  <c r="V4" i="14" s="1"/>
  <c r="N17" i="14"/>
  <c r="O13" i="14"/>
  <c r="W9" i="14"/>
  <c r="W8" i="14" s="1"/>
  <c r="L17" i="14"/>
  <c r="T3" i="14"/>
  <c r="T4" i="14" s="1"/>
  <c r="U3" i="14"/>
  <c r="U4" i="14" s="1"/>
  <c r="M17" i="14"/>
  <c r="U9" i="13"/>
  <c r="U8" i="13" s="1"/>
  <c r="M13" i="13"/>
  <c r="V9" i="13"/>
  <c r="V8" i="13" s="1"/>
  <c r="N13" i="13"/>
  <c r="D30" i="13"/>
  <c r="M17" i="13"/>
  <c r="U3" i="13"/>
  <c r="U4" i="13" s="1"/>
  <c r="O13" i="13"/>
  <c r="W9" i="13"/>
  <c r="W8" i="13" s="1"/>
  <c r="L13" i="13"/>
  <c r="T9" i="13"/>
  <c r="T8" i="13" s="1"/>
  <c r="D31" i="13"/>
  <c r="L17" i="13"/>
  <c r="T3" i="13"/>
  <c r="T4" i="13" s="1"/>
  <c r="T9" i="12"/>
  <c r="T8" i="12" s="1"/>
  <c r="L13" i="12"/>
  <c r="T3" i="12"/>
  <c r="T4" i="12" s="1"/>
  <c r="L17" i="12"/>
  <c r="O13" i="12"/>
  <c r="W9" i="12"/>
  <c r="W8" i="12" s="1"/>
  <c r="U9" i="12"/>
  <c r="U8" i="12" s="1"/>
  <c r="M13" i="12"/>
  <c r="V9" i="12"/>
  <c r="V8" i="12" s="1"/>
  <c r="N13" i="12"/>
  <c r="D36" i="14" l="1"/>
  <c r="D36" i="13"/>
  <c r="D36" i="12"/>
  <c r="D35" i="13"/>
  <c r="D35" i="12"/>
  <c r="H4" i="1" l="1"/>
  <c r="H3" i="1"/>
  <c r="C35" i="2" s="1"/>
  <c r="E34" i="1"/>
  <c r="C3" i="4"/>
  <c r="C15" i="4" s="1"/>
  <c r="C27" i="4" s="1"/>
  <c r="D4" i="11" l="1"/>
  <c r="C21" i="4"/>
  <c r="C4" i="11"/>
  <c r="C5" i="11"/>
  <c r="M7" i="11" s="1"/>
  <c r="F8" i="11"/>
  <c r="D8" i="11"/>
  <c r="F7" i="11"/>
  <c r="D7" i="11"/>
  <c r="E7" i="11"/>
  <c r="E8" i="11"/>
  <c r="O5" i="11" s="1"/>
  <c r="C7" i="11"/>
  <c r="C8" i="11"/>
  <c r="O7" i="11" s="1"/>
  <c r="W5" i="11" s="1"/>
  <c r="F5" i="11"/>
  <c r="D5" i="11"/>
  <c r="E5" i="11"/>
  <c r="M5" i="11" s="1"/>
  <c r="E4" i="11"/>
  <c r="L5" i="11" s="1"/>
  <c r="O15" i="11"/>
  <c r="N15" i="11"/>
  <c r="M15" i="11"/>
  <c r="L15" i="11"/>
  <c r="K15" i="11"/>
  <c r="S9" i="11"/>
  <c r="K8" i="11"/>
  <c r="K17" i="11" s="1"/>
  <c r="S7" i="11"/>
  <c r="K7" i="11"/>
  <c r="K16" i="11" s="1"/>
  <c r="W6" i="11"/>
  <c r="V6" i="11"/>
  <c r="U6" i="11"/>
  <c r="T6" i="11"/>
  <c r="S5" i="11"/>
  <c r="K5" i="11"/>
  <c r="K14" i="11" s="1"/>
  <c r="K4" i="11"/>
  <c r="K13" i="11" s="1"/>
  <c r="S3" i="11"/>
  <c r="S4" i="11" s="1"/>
  <c r="F4" i="11" l="1"/>
  <c r="F12" i="11" s="1"/>
  <c r="F22" i="11" s="1"/>
  <c r="S8" i="11"/>
  <c r="W7" i="11"/>
  <c r="O4" i="11"/>
  <c r="W9" i="11" s="1"/>
  <c r="E18" i="11"/>
  <c r="D18" i="11"/>
  <c r="F13" i="11"/>
  <c r="F23" i="11" s="1"/>
  <c r="C18" i="11"/>
  <c r="F18" i="11"/>
  <c r="D13" i="11"/>
  <c r="D23" i="11" s="1"/>
  <c r="E13" i="11"/>
  <c r="E23" i="11" s="1"/>
  <c r="N5" i="11"/>
  <c r="N4" i="11" s="1"/>
  <c r="N13" i="11" s="1"/>
  <c r="C13" i="11"/>
  <c r="C23" i="11" s="1"/>
  <c r="N7" i="11"/>
  <c r="M4" i="11"/>
  <c r="M13" i="11" s="1"/>
  <c r="D17" i="11"/>
  <c r="D28" i="11" s="1"/>
  <c r="M16" i="11"/>
  <c r="U5" i="11"/>
  <c r="M8" i="11"/>
  <c r="M17" i="11" s="1"/>
  <c r="D12" i="11"/>
  <c r="D22" i="11" s="1"/>
  <c r="L14" i="11"/>
  <c r="T7" i="11"/>
  <c r="C15" i="11"/>
  <c r="E12" i="11"/>
  <c r="E22" i="11" s="1"/>
  <c r="E17" i="11"/>
  <c r="C17" i="11"/>
  <c r="L7" i="11"/>
  <c r="L8" i="11" s="1"/>
  <c r="C12" i="11"/>
  <c r="C22" i="11" s="1"/>
  <c r="U7" i="11"/>
  <c r="O8" i="11"/>
  <c r="O16" i="11"/>
  <c r="M14" i="11"/>
  <c r="O14" i="11"/>
  <c r="F17" i="11" l="1"/>
  <c r="F28" i="11" s="1"/>
  <c r="D15" i="11"/>
  <c r="L4" i="11"/>
  <c r="L13" i="11" s="1"/>
  <c r="V7" i="11"/>
  <c r="N14" i="11"/>
  <c r="U3" i="11"/>
  <c r="U4" i="11" s="1"/>
  <c r="W8" i="11"/>
  <c r="O13" i="11"/>
  <c r="U9" i="11"/>
  <c r="U8" i="11" s="1"/>
  <c r="V9" i="11"/>
  <c r="V5" i="11"/>
  <c r="N16" i="11"/>
  <c r="N8" i="11"/>
  <c r="D27" i="11"/>
  <c r="E28" i="11"/>
  <c r="E27" i="11"/>
  <c r="L16" i="11"/>
  <c r="T5" i="11"/>
  <c r="C28" i="11"/>
  <c r="C27" i="11"/>
  <c r="O17" i="11"/>
  <c r="W3" i="11"/>
  <c r="W4" i="11" s="1"/>
  <c r="L17" i="11"/>
  <c r="T3" i="11"/>
  <c r="T9" i="11" l="1"/>
  <c r="T8" i="11" s="1"/>
  <c r="F27" i="11"/>
  <c r="V8" i="11"/>
  <c r="N17" i="11"/>
  <c r="V3" i="11"/>
  <c r="V4" i="11" s="1"/>
  <c r="T4" i="11"/>
  <c r="C75" i="8" l="1"/>
  <c r="D75" i="8" s="1"/>
  <c r="C74" i="8"/>
  <c r="D74" i="8" s="1"/>
  <c r="C39" i="8"/>
  <c r="C38" i="8"/>
  <c r="D39" i="8" s="1"/>
  <c r="D4" i="8"/>
  <c r="D3" i="8"/>
  <c r="D38" i="8" l="1"/>
  <c r="C9" i="4"/>
  <c r="G7" i="4"/>
  <c r="G6" i="4"/>
  <c r="G5" i="4"/>
  <c r="G4" i="4"/>
  <c r="G3" i="4"/>
  <c r="G9" i="4" s="1"/>
  <c r="C4" i="4"/>
  <c r="C16" i="4" s="1"/>
  <c r="C22" i="4" s="1"/>
  <c r="C5" i="4"/>
  <c r="C17" i="4" s="1"/>
  <c r="C23" i="4" s="1"/>
  <c r="C6" i="4"/>
  <c r="C18" i="4" s="1"/>
  <c r="C24" i="4" s="1"/>
  <c r="C7" i="4"/>
  <c r="C19" i="4" s="1"/>
  <c r="C25" i="4" s="1"/>
  <c r="C13" i="4" l="1"/>
  <c r="C12" i="4"/>
  <c r="C11" i="4"/>
  <c r="C10" i="4"/>
  <c r="C28" i="4" s="1"/>
  <c r="C31" i="4" l="1"/>
  <c r="C37" i="4"/>
  <c r="C35" i="4"/>
  <c r="C29" i="4"/>
  <c r="C30" i="4"/>
  <c r="C36" i="4"/>
  <c r="C34" i="4"/>
  <c r="C33" i="4"/>
  <c r="H9" i="1" l="1"/>
  <c r="H6" i="1"/>
  <c r="H7" i="1" s="1"/>
  <c r="H10" i="1" l="1"/>
  <c r="H11" i="1"/>
  <c r="H12" i="1"/>
  <c r="C3" i="3" l="1"/>
  <c r="C33" i="2"/>
  <c r="C10" i="2"/>
  <c r="C19" i="2"/>
  <c r="C31" i="2" s="1"/>
  <c r="C9" i="2"/>
  <c r="C18" i="2"/>
  <c r="C30" i="2" s="1"/>
  <c r="C7" i="2"/>
  <c r="C6" i="2"/>
  <c r="C3" i="2"/>
  <c r="C17" i="2"/>
  <c r="C29" i="2" s="1"/>
  <c r="C11" i="2"/>
  <c r="C37" i="2"/>
  <c r="C15" i="2"/>
  <c r="C27" i="2" s="1"/>
  <c r="C5" i="2"/>
  <c r="C36" i="2"/>
  <c r="C13" i="2"/>
  <c r="C4" i="2"/>
  <c r="C12" i="2"/>
  <c r="C16" i="2"/>
  <c r="C28" i="2" s="1"/>
  <c r="C34" i="2"/>
  <c r="C6" i="3" l="1"/>
  <c r="D25" i="11"/>
  <c r="C2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Matteo.Paganini</author>
  </authors>
  <commentList>
    <comment ref="C25" authorId="0" shapeId="0" xr:uid="{68618FFB-7FC7-4239-94B5-5EE712EB9A8D}">
      <text>
        <r>
          <rPr>
            <b/>
            <sz val="9"/>
            <color indexed="81"/>
            <rFont val="Tahoma"/>
            <charset val="1"/>
          </rPr>
          <t>Matteo.Paganini:</t>
        </r>
        <r>
          <rPr>
            <sz val="9"/>
            <color indexed="81"/>
            <rFont val="Tahoma"/>
            <charset val="1"/>
          </rPr>
          <t xml:space="preserve">
ALL SOLVED
-  * 57.325?
- mi pare tu converta solo una delle 2 rigidezze, in input hai Nm/deg(da C30) e N/mm(da C23)</t>
        </r>
      </text>
    </comment>
    <comment ref="C35" authorId="0" shapeId="0" xr:uid="{8BB7E488-7CE2-4FC4-8E8D-ED777FF5150C}">
      <text>
        <r>
          <rPr>
            <b/>
            <sz val="9"/>
            <color indexed="81"/>
            <rFont val="Tahoma"/>
            <charset val="1"/>
          </rPr>
          <t>Matteo.Paganini:</t>
        </r>
        <r>
          <rPr>
            <sz val="9"/>
            <color indexed="81"/>
            <rFont val="Tahoma"/>
            <charset val="1"/>
          </rPr>
          <t xml:space="preserve">
come mai qui relazione HS e LS non vale?
HS= 0.5*LS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Matteo.Paganini</author>
  </authors>
  <commentList>
    <comment ref="C21" authorId="0" shapeId="0" xr:uid="{039D66D1-562D-4B3B-9548-6F106329291C}">
      <text>
        <r>
          <rPr>
            <b/>
            <sz val="9"/>
            <color indexed="81"/>
            <rFont val="Tahoma"/>
            <charset val="1"/>
          </rPr>
          <t>Matteo.Paganini:</t>
        </r>
        <r>
          <rPr>
            <sz val="9"/>
            <color indexed="81"/>
            <rFont val="Tahoma"/>
            <charset val="1"/>
          </rPr>
          <t xml:space="preserve">
Non manca conversione per deg?</t>
        </r>
      </text>
    </comment>
  </commentList>
</comments>
</file>

<file path=xl/sharedStrings.xml><?xml version="1.0" encoding="utf-8"?>
<sst xmlns="http://schemas.openxmlformats.org/spreadsheetml/2006/main" count="582" uniqueCount="183">
  <si>
    <t>Value</t>
  </si>
  <si>
    <t>Unit</t>
  </si>
  <si>
    <t>Sprung mass</t>
  </si>
  <si>
    <t>kg</t>
  </si>
  <si>
    <t>Front weight distribution</t>
  </si>
  <si>
    <t>-</t>
  </si>
  <si>
    <t>Unsprung mass - front corner</t>
  </si>
  <si>
    <t>Unsprung mass - rear corner</t>
  </si>
  <si>
    <t>Minimum heave stiffness - front axle</t>
  </si>
  <si>
    <t>N/mm</t>
  </si>
  <si>
    <t>Minimum heave stiffness - rear axle</t>
  </si>
  <si>
    <t>Heave stiffness - 80 km/h - front axle</t>
  </si>
  <si>
    <t>Heave stiffness - 80 km/h - rear axle</t>
  </si>
  <si>
    <t>Heave stiffness - 160 km/h - front axle</t>
  </si>
  <si>
    <t>Heave stiffness - 160 km/h - rear axle</t>
  </si>
  <si>
    <t>Heave stiffness - 240 km/h - front axle</t>
  </si>
  <si>
    <t>Heave stiffness - 240 km/h - rear axle</t>
  </si>
  <si>
    <t>Heave stiffness - 320 km/h - front axle</t>
  </si>
  <si>
    <t>Heave stiffness - 320 km/h - rear axle</t>
  </si>
  <si>
    <t>Roll stiffness - front axle</t>
  </si>
  <si>
    <t>Nm/deg</t>
  </si>
  <si>
    <t>Roll stiffness - rear axle</t>
  </si>
  <si>
    <t>CoG height</t>
  </si>
  <si>
    <t>m</t>
  </si>
  <si>
    <t>Input constants</t>
  </si>
  <si>
    <t>Calculated constants</t>
  </si>
  <si>
    <t>Front sprung mass</t>
  </si>
  <si>
    <t>Rear sprung mass</t>
  </si>
  <si>
    <t>Roll axis height below CoG</t>
  </si>
  <si>
    <t>Wheelbase</t>
  </si>
  <si>
    <t>Front track width</t>
  </si>
  <si>
    <t>Rear track width</t>
  </si>
  <si>
    <t>CoG - RC arm length</t>
  </si>
  <si>
    <t>Hz</t>
  </si>
  <si>
    <t>Heave constants</t>
  </si>
  <si>
    <t>1-dof nat. freq. - 0 km/h - front</t>
  </si>
  <si>
    <t>1-dof nat. freq. - 0 km/h - rear</t>
  </si>
  <si>
    <t>1-dof nat. freq. - 80 km/h - front</t>
  </si>
  <si>
    <t>1-dof nat. freq. - 80 km/h - rear</t>
  </si>
  <si>
    <t>1-dof nat. freq. - 160 km/h - front</t>
  </si>
  <si>
    <t>1-dof nat. freq. - 160 km/h - rear</t>
  </si>
  <si>
    <t>1-dof nat. freq. - 240 km/h - front</t>
  </si>
  <si>
    <t>1-dof nat. freq. - 240 km/h - rear</t>
  </si>
  <si>
    <t>1-dof nat. freq. - 320 km/h - front</t>
  </si>
  <si>
    <t>1-dof nat. freq. - 320 km/h - rear</t>
  </si>
  <si>
    <t>Critical damping - 0 km/h - front</t>
  </si>
  <si>
    <t>N/(m/s)</t>
  </si>
  <si>
    <t>Critical damping - 0 km/h - rear</t>
  </si>
  <si>
    <t>Pitch constants</t>
  </si>
  <si>
    <t>kg*m2</t>
  </si>
  <si>
    <t>Total roll stiffness</t>
  </si>
  <si>
    <t>deg/g</t>
  </si>
  <si>
    <t>Roll constants</t>
  </si>
  <si>
    <t>1-dof nat. freq. - 0 km/h</t>
  </si>
  <si>
    <t>Critical damping - total</t>
  </si>
  <si>
    <t>Nm/(deg/s)</t>
  </si>
  <si>
    <t>Critical damping - rear (corner damper)</t>
  </si>
  <si>
    <t>Front elastic roll stiffness balance</t>
  </si>
  <si>
    <t>Average pitch stiffness - 0 km/h</t>
  </si>
  <si>
    <t>Average pitch stiffness - 80 km/h</t>
  </si>
  <si>
    <t>Average pitch stiffness - 160 km/h</t>
  </si>
  <si>
    <t>Average pitch stiffness - 240 km/h</t>
  </si>
  <si>
    <t>Average pitch stiffness - 320 km/h</t>
  </si>
  <si>
    <t>1-dof nat. freq. - 80 km/h</t>
  </si>
  <si>
    <t>1-dof nat. freq. - 160 km/h</t>
  </si>
  <si>
    <t>1-dof nat. freq. - 240 km/h</t>
  </si>
  <si>
    <t>1-dof nat. freq. - 320 km/h</t>
  </si>
  <si>
    <t>Critical damping - 0 km/h</t>
  </si>
  <si>
    <t>Critical damping - 80 km/h</t>
  </si>
  <si>
    <t>Critical damping - 160 km/h</t>
  </si>
  <si>
    <t>Critical damping - 240 km/h</t>
  </si>
  <si>
    <t>Critical damping - 320 km/h</t>
  </si>
  <si>
    <t>Lateral damper - front</t>
  </si>
  <si>
    <t>Lateral damper - rear</t>
  </si>
  <si>
    <t>Central damper - front</t>
  </si>
  <si>
    <t>Central damper - rear</t>
  </si>
  <si>
    <t>Setup evaluation</t>
  </si>
  <si>
    <t>Front displ. Ratio - 0 km/h</t>
  </si>
  <si>
    <t>Front displ. Ratio - 80 km/h</t>
  </si>
  <si>
    <t>Front displ. Ratio - 160 km/h</t>
  </si>
  <si>
    <t>Front displ. Ratio - 240 km/h</t>
  </si>
  <si>
    <t>Front displ. Ratio - 320 km/h</t>
  </si>
  <si>
    <t>Damping constant - 0 km/h</t>
  </si>
  <si>
    <t>Damping ratio - 0 km/h - front</t>
  </si>
  <si>
    <t>Damping ratio - 0 km/h - rear</t>
  </si>
  <si>
    <t>Damping ratio - 80 km/h - front</t>
  </si>
  <si>
    <t>Damping ratio - 160 km/h - front</t>
  </si>
  <si>
    <t>Damping ratio - 240 km/h - front</t>
  </si>
  <si>
    <t>Damping ratio - 320 km/h - front</t>
  </si>
  <si>
    <t>Damping ratio - 80 km/h - rear</t>
  </si>
  <si>
    <t>Damping ratio - 160 km/h - rear</t>
  </si>
  <si>
    <t>Damping ratio - 240 km/h - rear</t>
  </si>
  <si>
    <t>Damping ratio - 320 km/h - rear</t>
  </si>
  <si>
    <t>split?</t>
  </si>
  <si>
    <t>Roll Damping ratio</t>
  </si>
  <si>
    <t>Ground Roll moment of inertia (Ixx)</t>
  </si>
  <si>
    <t>Ground Pitch moment of inertia (Iyy)</t>
  </si>
  <si>
    <t>CoG Pitch moment of inertia (Iyy)</t>
  </si>
  <si>
    <t>CoG Roll moment of inertia (Ixx)</t>
  </si>
  <si>
    <t>Critical damping - front (corner damper) - wb split</t>
  </si>
  <si>
    <t>Critical damping - front (corner damper) - roll k split</t>
  </si>
  <si>
    <t>f2 and f1, -3dB (0.707 * amplitude_max)</t>
  </si>
  <si>
    <t>Critical damping - 80 km/h - front</t>
  </si>
  <si>
    <t>Critical damping - 160 km/h - front</t>
  </si>
  <si>
    <t>Critical damping - 240 km/h - front</t>
  </si>
  <si>
    <t>Critical damping - 320 km/h - front</t>
  </si>
  <si>
    <t>Front side damper</t>
  </si>
  <si>
    <t>Rear side damper</t>
  </si>
  <si>
    <t>C</t>
  </si>
  <si>
    <t>ζ</t>
  </si>
  <si>
    <t>Split</t>
  </si>
  <si>
    <t>Roll damping (minimum amplification factor)</t>
  </si>
  <si>
    <t>|z0/h0| max</t>
  </si>
  <si>
    <t>F max [Hz]</t>
  </si>
  <si>
    <t>Heave damping (minimum amplification factor)</t>
  </si>
  <si>
    <t>Speed = 160km/h</t>
  </si>
  <si>
    <t>Pitch damping (minimum amplification factor)</t>
  </si>
  <si>
    <t>?</t>
  </si>
  <si>
    <t>LSC</t>
  </si>
  <si>
    <t>HSC</t>
  </si>
  <si>
    <t>LSR</t>
  </si>
  <si>
    <t>HSR</t>
  </si>
  <si>
    <t>Front Lateral</t>
  </si>
  <si>
    <t>Front Central</t>
  </si>
  <si>
    <t>Rear Lateral</t>
  </si>
  <si>
    <t>Rear Central</t>
  </si>
  <si>
    <t>LS Vel</t>
  </si>
  <si>
    <t>HS Vel</t>
  </si>
  <si>
    <t>Front Lat.</t>
  </si>
  <si>
    <t>Front C.</t>
  </si>
  <si>
    <t>Rear Lat.</t>
  </si>
  <si>
    <t>Rear C.</t>
  </si>
  <si>
    <t>Velocity</t>
  </si>
  <si>
    <t>Front Heave</t>
  </si>
  <si>
    <t>Rear Heave</t>
  </si>
  <si>
    <t>Roll</t>
  </si>
  <si>
    <t>Single wheel F</t>
  </si>
  <si>
    <t>Single wheel R</t>
  </si>
  <si>
    <t>C   [kN/(m/s)]</t>
  </si>
  <si>
    <t>Combined C   [kN/(m/s)]</t>
  </si>
  <si>
    <t>Damper curves [N]</t>
  </si>
  <si>
    <r>
      <t xml:space="preserve">Damping Ratio </t>
    </r>
    <r>
      <rPr>
        <b/>
        <sz val="11"/>
        <color theme="1"/>
        <rFont val="Calibri"/>
        <family val="2"/>
      </rPr>
      <t>ζ   @160km/h</t>
    </r>
  </si>
  <si>
    <t>Nm/(rad/s)</t>
  </si>
  <si>
    <t>Avg. track width</t>
  </si>
  <si>
    <t>2*sqrt(Ktheta*Iyy)</t>
  </si>
  <si>
    <t>Critical damping - front+rear (One side damper)</t>
  </si>
  <si>
    <t>rebound</t>
  </si>
  <si>
    <t>compression</t>
  </si>
  <si>
    <t>vi-grade curves (negative compression)</t>
  </si>
  <si>
    <t>Damper curves with motion ratio [N]</t>
  </si>
  <si>
    <t>MR</t>
  </si>
  <si>
    <t>Factor central dampers</t>
  </si>
  <si>
    <t>Factor side dampers</t>
  </si>
  <si>
    <t>LS</t>
  </si>
  <si>
    <t>HS</t>
  </si>
  <si>
    <t>Front RC height (avg. dynamic)</t>
  </si>
  <si>
    <t>Rear RC height (avg. dynamic)</t>
  </si>
  <si>
    <t>HS/LS</t>
  </si>
  <si>
    <t>Reb/Comp</t>
  </si>
  <si>
    <r>
      <t xml:space="preserve">Damping Ratio (Avg. Bump/Rebound) </t>
    </r>
    <r>
      <rPr>
        <b/>
        <sz val="11"/>
        <color theme="1"/>
        <rFont val="Calibri"/>
        <family val="2"/>
      </rPr>
      <t>ζ   @160km/h</t>
    </r>
  </si>
  <si>
    <t>INPUT</t>
  </si>
  <si>
    <t>Roll gradient (all car mass)</t>
  </si>
  <si>
    <t>Roll gradient (sprung mass only)</t>
  </si>
  <si>
    <t>F. balance</t>
  </si>
  <si>
    <t>Damping ratio - 0 km/h</t>
  </si>
  <si>
    <t>Damping ratio - 80 km/h</t>
  </si>
  <si>
    <t>Damping ratio - 160 km/h</t>
  </si>
  <si>
    <t>Damping ratio - 240 km/h</t>
  </si>
  <si>
    <t>Damping ratio - 320 km/h</t>
  </si>
  <si>
    <t>Not really sure, shouldn't we distribute the pitch movement between front and rear, instead of a simple average?</t>
  </si>
  <si>
    <r>
      <t xml:space="preserve">Damping Ratio </t>
    </r>
    <r>
      <rPr>
        <b/>
        <sz val="11"/>
        <color theme="1"/>
        <rFont val="Calibri"/>
        <family val="2"/>
      </rPr>
      <t>ζ   @80km/h</t>
    </r>
  </si>
  <si>
    <r>
      <t xml:space="preserve">Damping Ratio (Avg. Bump/Rebound) </t>
    </r>
    <r>
      <rPr>
        <b/>
        <sz val="11"/>
        <color theme="1"/>
        <rFont val="Calibri"/>
        <family val="2"/>
      </rPr>
      <t>ζ   @80km/h</t>
    </r>
  </si>
  <si>
    <t>Critical damping - 80 km/h - rear</t>
  </si>
  <si>
    <t>Critical damping - 160 km/h - rear</t>
  </si>
  <si>
    <t>Critical damping - 240 km/h - rear</t>
  </si>
  <si>
    <t>Critical damping - 320 km/h - rear</t>
  </si>
  <si>
    <t>f</t>
  </si>
  <si>
    <t>Things to do</t>
  </si>
  <si>
    <t>warp simulation</t>
  </si>
  <si>
    <t>minimize CLP gain</t>
  </si>
  <si>
    <t>rough road simulation</t>
  </si>
  <si>
    <t>see if low speed range has to be modified</t>
  </si>
  <si>
    <t>Se dividi per 2 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</si>
</sst>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2" fontId="5" fillId="0" borderId="0" xfId="0" applyNumberFormat="1" applyFont="1"/>
    <xf numFmtId="1" fontId="5" fillId="0" borderId="0" xfId="0" applyNumberFormat="1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5" xfId="0" applyFont="1" applyBorder="1"/>
    <xf numFmtId="0" fontId="0" fillId="0" borderId="7" xfId="0" applyFill="1" applyBorder="1"/>
    <xf numFmtId="1" fontId="0" fillId="0" borderId="0" xfId="0" applyNumberFormat="1" applyBorder="1"/>
    <xf numFmtId="1" fontId="0" fillId="0" borderId="8" xfId="0" applyNumberFormat="1" applyBorder="1"/>
    <xf numFmtId="0" fontId="0" fillId="0" borderId="9" xfId="0" applyFill="1" applyBorder="1"/>
    <xf numFmtId="0" fontId="1" fillId="0" borderId="0" xfId="0" applyFont="1"/>
    <xf numFmtId="0" fontId="0" fillId="0" borderId="0" xfId="0" applyFont="1"/>
    <xf numFmtId="0" fontId="6" fillId="0" borderId="0" xfId="0" applyFont="1"/>
    <xf numFmtId="0" fontId="2" fillId="0" borderId="9" xfId="0" applyFont="1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2" fillId="0" borderId="6" xfId="0" applyFont="1" applyBorder="1"/>
    <xf numFmtId="0" fontId="2" fillId="0" borderId="1" xfId="0" applyFont="1" applyFill="1" applyBorder="1"/>
    <xf numFmtId="165" fontId="0" fillId="0" borderId="0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0" fillId="2" borderId="6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8" fillId="0" borderId="0" xfId="0" applyFont="1"/>
    <xf numFmtId="0" fontId="9" fillId="0" borderId="0" xfId="0" applyFont="1"/>
    <xf numFmtId="164" fontId="0" fillId="2" borderId="0" xfId="0" applyNumberForma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4" borderId="0" xfId="0" applyFill="1"/>
    <xf numFmtId="0" fontId="0" fillId="5" borderId="0" xfId="0" applyFill="1"/>
    <xf numFmtId="2" fontId="0" fillId="0" borderId="0" xfId="0" applyNumberFormat="1" applyFill="1" applyBorder="1"/>
    <xf numFmtId="0" fontId="2" fillId="0" borderId="0" xfId="0" applyFont="1" applyAlignment="1">
      <alignment horizontal="right"/>
    </xf>
    <xf numFmtId="0" fontId="0" fillId="6" borderId="0" xfId="0" applyFill="1"/>
    <xf numFmtId="0" fontId="0" fillId="7" borderId="0" xfId="0" applyFill="1"/>
    <xf numFmtId="2" fontId="1" fillId="4" borderId="0" xfId="0" applyNumberFormat="1" applyFont="1" applyFill="1" applyBorder="1"/>
    <xf numFmtId="2" fontId="1" fillId="4" borderId="10" xfId="0" applyNumberFormat="1" applyFont="1" applyFill="1" applyBorder="1"/>
    <xf numFmtId="1" fontId="0" fillId="0" borderId="0" xfId="0" applyNumberFormat="1" applyFill="1"/>
    <xf numFmtId="2" fontId="0" fillId="4" borderId="0" xfId="0" applyNumberFormat="1" applyFill="1"/>
    <xf numFmtId="165" fontId="0" fillId="0" borderId="0" xfId="0" applyNumberFormat="1" applyFill="1" applyBorder="1"/>
    <xf numFmtId="2" fontId="0" fillId="0" borderId="10" xfId="0" applyNumberFormat="1" applyFill="1" applyBorder="1"/>
    <xf numFmtId="0" fontId="0" fillId="8" borderId="0" xfId="0" applyFill="1"/>
    <xf numFmtId="2" fontId="0" fillId="0" borderId="8" xfId="0" applyNumberFormat="1" applyFill="1" applyBorder="1"/>
    <xf numFmtId="2" fontId="0" fillId="0" borderId="11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'Summary-80'!$L$3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6-4DDC-B3F1-77C42E87C0A3}"/>
            </c:ext>
          </c:extLst>
        </c:ser>
        <c:ser>
          <c:idx val="1"/>
          <c:order val="1"/>
          <c:tx>
            <c:strRef>
              <c:f>'Summary-80'!$M$3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283.59999999999997</c:v>
                </c:pt>
                <c:pt idx="4">
                  <c:v>850.8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6-4DDC-B3F1-77C42E87C0A3}"/>
            </c:ext>
          </c:extLst>
        </c:ser>
        <c:ser>
          <c:idx val="2"/>
          <c:order val="2"/>
          <c:tx>
            <c:strRef>
              <c:f>'Summary-80'!$N$3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6-4DDC-B3F1-77C42E87C0A3}"/>
            </c:ext>
          </c:extLst>
        </c:ser>
        <c:ser>
          <c:idx val="3"/>
          <c:order val="3"/>
          <c:tx>
            <c:strRef>
              <c:f>'Summary-80'!$O$3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6-4DDC-B3F1-77C42E87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'Summary-320'!$L$3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C-4BCD-BE48-C344CB6A9017}"/>
            </c:ext>
          </c:extLst>
        </c:ser>
        <c:ser>
          <c:idx val="1"/>
          <c:order val="1"/>
          <c:tx>
            <c:strRef>
              <c:f>'Summary-320'!$M$3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283.59999999999997</c:v>
                </c:pt>
                <c:pt idx="4">
                  <c:v>850.8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C-4BCD-BE48-C344CB6A9017}"/>
            </c:ext>
          </c:extLst>
        </c:ser>
        <c:ser>
          <c:idx val="2"/>
          <c:order val="2"/>
          <c:tx>
            <c:strRef>
              <c:f>'Summary-320'!$N$3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C-4BCD-BE48-C344CB6A9017}"/>
            </c:ext>
          </c:extLst>
        </c:ser>
        <c:ser>
          <c:idx val="3"/>
          <c:order val="3"/>
          <c:tx>
            <c:strRef>
              <c:f>'Summary-320'!$O$3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C-4BCD-BE48-C344CB6A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'Summary-320'!$M$12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9-42D9-9F36-DD4CDDDA782E}"/>
            </c:ext>
          </c:extLst>
        </c:ser>
        <c:ser>
          <c:idx val="1"/>
          <c:order val="1"/>
          <c:tx>
            <c:strRef>
              <c:f>'Summary-320'!$O$12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9-42D9-9F36-DD4CDDDA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'Summary-320'!$L$3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0-41C2-BD88-9E3B312F2D37}"/>
            </c:ext>
          </c:extLst>
        </c:ser>
        <c:ser>
          <c:idx val="1"/>
          <c:order val="1"/>
          <c:tx>
            <c:strRef>
              <c:f>'Summary-320'!$M$3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0-41C2-BD88-9E3B312F2D37}"/>
            </c:ext>
          </c:extLst>
        </c:ser>
        <c:ser>
          <c:idx val="2"/>
          <c:order val="2"/>
          <c:tx>
            <c:strRef>
              <c:f>'Summary-320'!$N$3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0-41C2-BD88-9E3B312F2D37}"/>
            </c:ext>
          </c:extLst>
        </c:ser>
        <c:ser>
          <c:idx val="3"/>
          <c:order val="3"/>
          <c:tx>
            <c:strRef>
              <c:f>'Summary-320'!$O$3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0-41C2-BD88-9E3B312F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1-dof</a:t>
            </a:r>
            <a:r>
              <a:rPr lang="en-US" baseline="0"/>
              <a:t> heave natural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mode'!$C$3:$C$7</c:f>
              <c:numCache>
                <c:formatCode>0.00</c:formatCode>
                <c:ptCount val="5"/>
                <c:pt idx="0">
                  <c:v>3.7037185008253526</c:v>
                </c:pt>
                <c:pt idx="1">
                  <c:v>3.7037185008253526</c:v>
                </c:pt>
                <c:pt idx="2">
                  <c:v>3.8177056466143049</c:v>
                </c:pt>
                <c:pt idx="3">
                  <c:v>4.5986802324787153</c:v>
                </c:pt>
                <c:pt idx="4">
                  <c:v>7.2119556314942406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3-438E-AA38-528D3890C54C}"/>
            </c:ext>
          </c:extLst>
        </c:ser>
        <c:ser>
          <c:idx val="1"/>
          <c:order val="1"/>
          <c:tx>
            <c:v>Rear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mode'!$C$9:$C$13</c:f>
              <c:numCache>
                <c:formatCode>0.00</c:formatCode>
                <c:ptCount val="5"/>
                <c:pt idx="0">
                  <c:v>3.0240734926426636</c:v>
                </c:pt>
                <c:pt idx="1">
                  <c:v>3.0240734926426636</c:v>
                </c:pt>
                <c:pt idx="2">
                  <c:v>3.0240734926426636</c:v>
                </c:pt>
                <c:pt idx="3">
                  <c:v>4.2766857469082291</c:v>
                </c:pt>
                <c:pt idx="4">
                  <c:v>6.5908153761347297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3-438E-AA38-528D3890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48239"/>
        <c:axId val="608107887"/>
      </c:scatterChart>
      <c:valAx>
        <c:axId val="6063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107887"/>
        <c:crosses val="autoZero"/>
        <c:crossBetween val="midCat"/>
      </c:valAx>
      <c:valAx>
        <c:axId val="6081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34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1-dof</a:t>
            </a:r>
            <a:r>
              <a:rPr lang="en-US" baseline="0"/>
              <a:t> heave damping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mode'!$C$27:$C$31</c:f>
              <c:numCache>
                <c:formatCode>0.00</c:formatCode>
                <c:ptCount val="5"/>
                <c:pt idx="0">
                  <c:v>0.78161114738959414</c:v>
                </c:pt>
                <c:pt idx="1">
                  <c:v>0.78161114738959414</c:v>
                </c:pt>
                <c:pt idx="2">
                  <c:v>0.7582741926700024</c:v>
                </c:pt>
                <c:pt idx="3">
                  <c:v>0.62949966527196888</c:v>
                </c:pt>
                <c:pt idx="4">
                  <c:v>0.40139842990664465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3-438E-AA38-528D3890C5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mode'!$C$33:$C$37</c:f>
              <c:numCache>
                <c:formatCode>0.00</c:formatCode>
                <c:ptCount val="5"/>
                <c:pt idx="0">
                  <c:v>0.63336242798626963</c:v>
                </c:pt>
                <c:pt idx="1">
                  <c:v>0.63336242798626963</c:v>
                </c:pt>
                <c:pt idx="2">
                  <c:v>0.63336242798626963</c:v>
                </c:pt>
                <c:pt idx="3">
                  <c:v>0.44785486777786754</c:v>
                </c:pt>
                <c:pt idx="4">
                  <c:v>0.29060661244502173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3-438E-AA38-528D3890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48239"/>
        <c:axId val="608107887"/>
      </c:scatterChart>
      <c:valAx>
        <c:axId val="6063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107887"/>
        <c:crosses val="autoZero"/>
        <c:crossBetween val="midCat"/>
      </c:valAx>
      <c:valAx>
        <c:axId val="6081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34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setup - First Request'!$L$3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Request'!$L$4:$L$8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8-4390-9927-DF007BF075DD}"/>
            </c:ext>
          </c:extLst>
        </c:ser>
        <c:ser>
          <c:idx val="1"/>
          <c:order val="1"/>
          <c:tx>
            <c:strRef>
              <c:f>'Base setup - First Request'!$M$3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Request'!$M$4:$M$8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8-4390-9927-DF007BF075DD}"/>
            </c:ext>
          </c:extLst>
        </c:ser>
        <c:ser>
          <c:idx val="2"/>
          <c:order val="2"/>
          <c:tx>
            <c:strRef>
              <c:f>'Base setup - First Request'!$N$3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8-4390-9927-DF007BF075DD}"/>
            </c:ext>
          </c:extLst>
        </c:ser>
        <c:ser>
          <c:idx val="3"/>
          <c:order val="3"/>
          <c:tx>
            <c:strRef>
              <c:f>'Base setup - First Request'!$O$3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Request'!$O$4:$O$8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8-4390-9927-DF007BF07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setup - First Request'!$M$12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Request'!$M$13:$M$17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4C93-921C-18BB9FDEEC97}"/>
            </c:ext>
          </c:extLst>
        </c:ser>
        <c:ser>
          <c:idx val="1"/>
          <c:order val="1"/>
          <c:tx>
            <c:strRef>
              <c:f>'Base setup - First Request'!$O$12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Request'!$O$13:$O$17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E-4C93-921C-18BB9FDEEC97}"/>
            </c:ext>
          </c:extLst>
        </c:ser>
        <c:ser>
          <c:idx val="2"/>
          <c:order val="2"/>
          <c:tx>
            <c:strRef>
              <c:f>'Base setup - First Request'!$L$12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Request'!$L$13:$L$17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E-4C93-921C-18BB9FDEEC97}"/>
            </c:ext>
          </c:extLst>
        </c:ser>
        <c:ser>
          <c:idx val="3"/>
          <c:order val="3"/>
          <c:tx>
            <c:strRef>
              <c:f>'Base setup - First Request'!$N$12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Request'!$N$13:$N$17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E-4C93-921C-18BB9FDE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3116932238688236"/>
          <c:h val="0.1830521286534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setup - First Request'!$L$3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Request'!$L$13:$L$17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A-4E0D-9E56-8E91E61BD54C}"/>
            </c:ext>
          </c:extLst>
        </c:ser>
        <c:ser>
          <c:idx val="1"/>
          <c:order val="1"/>
          <c:tx>
            <c:strRef>
              <c:f>'Base setup - First Request'!$M$3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Request'!$M$13:$M$17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A-4E0D-9E56-8E91E61BD54C}"/>
            </c:ext>
          </c:extLst>
        </c:ser>
        <c:ser>
          <c:idx val="2"/>
          <c:order val="2"/>
          <c:tx>
            <c:strRef>
              <c:f>'Base setup - First Request'!$N$3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Request'!$N$13:$N$17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A-4E0D-9E56-8E91E61BD54C}"/>
            </c:ext>
          </c:extLst>
        </c:ser>
        <c:ser>
          <c:idx val="3"/>
          <c:order val="3"/>
          <c:tx>
            <c:strRef>
              <c:f>'Base setup - First Request'!$O$3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Request'!$O$13:$O$17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A-4E0D-9E56-8E91E61B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'Summary-80'!$M$12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1-4111-A8D2-2A129409A3A3}"/>
            </c:ext>
          </c:extLst>
        </c:ser>
        <c:ser>
          <c:idx val="1"/>
          <c:order val="1"/>
          <c:tx>
            <c:strRef>
              <c:f>'Summary-80'!$O$12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1-4111-A8D2-2A129409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'Summary-80'!$L$3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A-4EE2-A6E4-93C1BDB00283}"/>
            </c:ext>
          </c:extLst>
        </c:ser>
        <c:ser>
          <c:idx val="1"/>
          <c:order val="1"/>
          <c:tx>
            <c:strRef>
              <c:f>'Summary-80'!$M$3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A-4EE2-A6E4-93C1BDB00283}"/>
            </c:ext>
          </c:extLst>
        </c:ser>
        <c:ser>
          <c:idx val="2"/>
          <c:order val="2"/>
          <c:tx>
            <c:strRef>
              <c:f>'Summary-80'!$N$3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A-4EE2-A6E4-93C1BDB00283}"/>
            </c:ext>
          </c:extLst>
        </c:ser>
        <c:ser>
          <c:idx val="3"/>
          <c:order val="3"/>
          <c:tx>
            <c:strRef>
              <c:f>'Summary-80'!$O$3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A-4EE2-A6E4-93C1BDB0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'Summary-160'!$L$3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8-488D-B3CB-630F94ABFBF0}"/>
            </c:ext>
          </c:extLst>
        </c:ser>
        <c:ser>
          <c:idx val="1"/>
          <c:order val="1"/>
          <c:tx>
            <c:strRef>
              <c:f>'Summary-160'!$M$3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283.60000000000002</c:v>
                </c:pt>
                <c:pt idx="4">
                  <c:v>850.80000000000007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8-488D-B3CB-630F94ABFBF0}"/>
            </c:ext>
          </c:extLst>
        </c:ser>
        <c:ser>
          <c:idx val="2"/>
          <c:order val="2"/>
          <c:tx>
            <c:strRef>
              <c:f>'Summary-160'!$N$3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8-488D-B3CB-630F94ABFBF0}"/>
            </c:ext>
          </c:extLst>
        </c:ser>
        <c:ser>
          <c:idx val="3"/>
          <c:order val="3"/>
          <c:tx>
            <c:strRef>
              <c:f>'Summary-160'!$O$3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8-488D-B3CB-630F94AB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'Summary-160'!$M$12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196.94444444444446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3-4A34-AA16-8DE71F921379}"/>
            </c:ext>
          </c:extLst>
        </c:ser>
        <c:ser>
          <c:idx val="1"/>
          <c:order val="1"/>
          <c:tx>
            <c:strRef>
              <c:f>'Summary-160'!$O$12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3-4A34-AA16-8DE71F92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'Summary-160'!$L$3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E-46F0-A674-2EDE3AD387D4}"/>
            </c:ext>
          </c:extLst>
        </c:ser>
        <c:ser>
          <c:idx val="1"/>
          <c:order val="1"/>
          <c:tx>
            <c:strRef>
              <c:f>'Summary-160'!$M$3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196.94444444444446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E-46F0-A674-2EDE3AD387D4}"/>
            </c:ext>
          </c:extLst>
        </c:ser>
        <c:ser>
          <c:idx val="2"/>
          <c:order val="2"/>
          <c:tx>
            <c:strRef>
              <c:f>'Summary-160'!$N$3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E-46F0-A674-2EDE3AD387D4}"/>
            </c:ext>
          </c:extLst>
        </c:ser>
        <c:ser>
          <c:idx val="3"/>
          <c:order val="3"/>
          <c:tx>
            <c:strRef>
              <c:f>'Summary-160'!$O$3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DE-46F0-A674-2EDE3AD3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'Summary-240'!$L$3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2-4F74-B49E-BC73E7400E40}"/>
            </c:ext>
          </c:extLst>
        </c:ser>
        <c:ser>
          <c:idx val="1"/>
          <c:order val="1"/>
          <c:tx>
            <c:strRef>
              <c:f>'Summary-240'!$M$3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283.59999999999997</c:v>
                </c:pt>
                <c:pt idx="4">
                  <c:v>850.8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2-4F74-B49E-BC73E7400E40}"/>
            </c:ext>
          </c:extLst>
        </c:ser>
        <c:ser>
          <c:idx val="2"/>
          <c:order val="2"/>
          <c:tx>
            <c:strRef>
              <c:f>'Summary-240'!$N$3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2-4F74-B49E-BC73E7400E40}"/>
            </c:ext>
          </c:extLst>
        </c:ser>
        <c:ser>
          <c:idx val="3"/>
          <c:order val="3"/>
          <c:tx>
            <c:strRef>
              <c:f>'Summary-240'!$O$3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2-4F74-B49E-BC73E740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'Summary-240'!$M$12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D-49C6-9BC5-5FCCD7E286EE}"/>
            </c:ext>
          </c:extLst>
        </c:ser>
        <c:ser>
          <c:idx val="1"/>
          <c:order val="1"/>
          <c:tx>
            <c:strRef>
              <c:f>'Summary-240'!$O$12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D-49C6-9BC5-5FCCD7E2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'Summary-240'!$L$3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D-4EB5-94D0-F42A079C59F8}"/>
            </c:ext>
          </c:extLst>
        </c:ser>
        <c:ser>
          <c:idx val="1"/>
          <c:order val="1"/>
          <c:tx>
            <c:strRef>
              <c:f>'Summary-240'!$M$3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D-4EB5-94D0-F42A079C59F8}"/>
            </c:ext>
          </c:extLst>
        </c:ser>
        <c:ser>
          <c:idx val="2"/>
          <c:order val="2"/>
          <c:tx>
            <c:strRef>
              <c:f>'Summary-240'!$N$3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D-4EB5-94D0-F42A079C59F8}"/>
            </c:ext>
          </c:extLst>
        </c:ser>
        <c:ser>
          <c:idx val="3"/>
          <c:order val="3"/>
          <c:tx>
            <c:strRef>
              <c:f>'Summary-240'!$O$3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CD-4EB5-94D0-F42A079C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6.emf"/><Relationship Id="rId1" Type="http://schemas.openxmlformats.org/officeDocument/2006/relationships/chart" Target="../charts/chart15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6.emf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6.emf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6.emf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6.emf"/><Relationship Id="rId1" Type="http://schemas.openxmlformats.org/officeDocument/2006/relationships/chart" Target="../charts/chart10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47625</xdr:rowOff>
    </xdr:from>
    <xdr:to>
      <xdr:col>30</xdr:col>
      <xdr:colOff>88436</xdr:colOff>
      <xdr:row>33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F88402-B206-47E5-883D-14F1797897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62" t="3935" r="8616" b="6229"/>
        <a:stretch/>
      </xdr:blipFill>
      <xdr:spPr bwMode="auto">
        <a:xfrm>
          <a:off x="6819900" y="238125"/>
          <a:ext cx="14090186" cy="617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59871</xdr:colOff>
      <xdr:row>35</xdr:row>
      <xdr:rowOff>54429</xdr:rowOff>
    </xdr:from>
    <xdr:to>
      <xdr:col>29</xdr:col>
      <xdr:colOff>544285</xdr:colOff>
      <xdr:row>67</xdr:row>
      <xdr:rowOff>22966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104C77-AF15-41DE-AD8E-045A7ED0A5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45" t="4970" r="8051" b="5865"/>
        <a:stretch/>
      </xdr:blipFill>
      <xdr:spPr bwMode="auto">
        <a:xfrm>
          <a:off x="6877050" y="6721929"/>
          <a:ext cx="13955485" cy="6064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61BCD-6DDE-41DA-B4E1-FB514AE1B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23282</xdr:colOff>
      <xdr:row>36</xdr:row>
      <xdr:rowOff>55034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C7B47CD3-FB1B-4D06-8F44-5261F8592DB1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2254250"/>
          <a:ext cx="7948082" cy="47730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DC834-C074-45B3-AC83-B8324171A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FA6B85-1D83-464F-B061-A126DE6E8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28576</xdr:colOff>
      <xdr:row>1</xdr:row>
      <xdr:rowOff>19050</xdr:rowOff>
    </xdr:from>
    <xdr:to>
      <xdr:col>25</xdr:col>
      <xdr:colOff>24242</xdr:colOff>
      <xdr:row>34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A86D8E-215A-40C6-8C15-B414B0E13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35" t="4671" r="8807" b="6164"/>
        <a:stretch/>
      </xdr:blipFill>
      <xdr:spPr bwMode="auto">
        <a:xfrm>
          <a:off x="6677026" y="209550"/>
          <a:ext cx="10968466" cy="637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219075</xdr:colOff>
      <xdr:row>1</xdr:row>
      <xdr:rowOff>47624</xdr:rowOff>
    </xdr:from>
    <xdr:to>
      <xdr:col>43</xdr:col>
      <xdr:colOff>9525</xdr:colOff>
      <xdr:row>34</xdr:row>
      <xdr:rowOff>49607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27C4AE-985B-4846-9435-7D8CDF8772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43" t="4573" r="8963" b="6163"/>
        <a:stretch/>
      </xdr:blipFill>
      <xdr:spPr bwMode="auto">
        <a:xfrm>
          <a:off x="17840325" y="238124"/>
          <a:ext cx="10763250" cy="6288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19051</xdr:colOff>
      <xdr:row>36</xdr:row>
      <xdr:rowOff>28575</xdr:rowOff>
    </xdr:from>
    <xdr:to>
      <xdr:col>24</xdr:col>
      <xdr:colOff>595219</xdr:colOff>
      <xdr:row>69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4D2161-A0F9-4CEC-9640-2D119646C1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3" t="4374" r="8442" b="5964"/>
        <a:stretch/>
      </xdr:blipFill>
      <xdr:spPr bwMode="auto">
        <a:xfrm>
          <a:off x="6819901" y="6886575"/>
          <a:ext cx="10939368" cy="641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47625</xdr:colOff>
      <xdr:row>36</xdr:row>
      <xdr:rowOff>47626</xdr:rowOff>
    </xdr:from>
    <xdr:to>
      <xdr:col>42</xdr:col>
      <xdr:colOff>590550</xdr:colOff>
      <xdr:row>69</xdr:row>
      <xdr:rowOff>97134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209D3B-2C5C-41A4-91C3-B1887C4163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00" t="4671" r="8442" b="6164"/>
        <a:stretch/>
      </xdr:blipFill>
      <xdr:spPr bwMode="auto">
        <a:xfrm>
          <a:off x="17821275" y="6905626"/>
          <a:ext cx="10906125" cy="6336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71</xdr:row>
      <xdr:rowOff>38100</xdr:rowOff>
    </xdr:from>
    <xdr:to>
      <xdr:col>24</xdr:col>
      <xdr:colOff>552450</xdr:colOff>
      <xdr:row>104</xdr:row>
      <xdr:rowOff>5797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2079BF-CA2A-427B-BF33-0D1F95EE49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82" t="4374" r="8234" b="6461"/>
        <a:stretch/>
      </xdr:blipFill>
      <xdr:spPr bwMode="auto">
        <a:xfrm>
          <a:off x="6867525" y="13563600"/>
          <a:ext cx="10848975" cy="6254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95250</xdr:colOff>
      <xdr:row>14</xdr:row>
      <xdr:rowOff>188851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8DD883-F11F-4081-B87B-E5FB1EA85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0501"/>
          <a:ext cx="2533650" cy="266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19050</xdr:rowOff>
    </xdr:from>
    <xdr:to>
      <xdr:col>13</xdr:col>
      <xdr:colOff>180975</xdr:colOff>
      <xdr:row>14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2A538-5818-42E9-ADE2-259EC13D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209550"/>
          <a:ext cx="4419600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16</xdr:col>
      <xdr:colOff>364618</xdr:colOff>
      <xdr:row>6</xdr:row>
      <xdr:rowOff>36916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E1AF35-66D1-4D9C-B2A8-41D5E4C56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8917" y="201083"/>
          <a:ext cx="4057143" cy="10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19</xdr:col>
      <xdr:colOff>96454</xdr:colOff>
      <xdr:row>12</xdr:row>
      <xdr:rowOff>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C42CBC-D677-44E1-95D8-4BD8237D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8917" y="1354667"/>
          <a:ext cx="5609524" cy="9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42333</xdr:colOff>
      <xdr:row>13</xdr:row>
      <xdr:rowOff>0</xdr:rowOff>
    </xdr:from>
    <xdr:to>
      <xdr:col>14</xdr:col>
      <xdr:colOff>17475</xdr:colOff>
      <xdr:row>17</xdr:row>
      <xdr:rowOff>173240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B69F7B-DC38-40E8-8243-E659CC92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7583" y="2497667"/>
          <a:ext cx="2438095" cy="9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61330-1F7E-4759-8323-95D94A5F7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15662</xdr:colOff>
      <xdr:row>36</xdr:row>
      <xdr:rowOff>35983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FAD967AC-C481-4C47-83E4-D79854B4EC0D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282825"/>
          <a:ext cx="7948082" cy="47730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5E369-0001-4854-855D-0FA794E75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616CC-1163-4CAC-AA2B-8D1594794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DFAF2-593C-426A-BA8D-4C9A116B5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19472</xdr:colOff>
      <xdr:row>36</xdr:row>
      <xdr:rowOff>21590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81937C40-560D-4799-92D7-910C50BAF9C2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2181860"/>
          <a:ext cx="7944272" cy="453114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810DE-6CE2-488E-A5E2-A0B0C21C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ADFC6-E45B-4FB0-9784-5191991F6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3CCF5-97F4-411E-9340-8ECE9C536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15662</xdr:colOff>
      <xdr:row>36</xdr:row>
      <xdr:rowOff>35983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B77B25CE-E88F-403B-BE78-E62D0B0222DE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282825"/>
          <a:ext cx="7948082" cy="47730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7CE44-1374-448C-A2C2-4BD6D1EB2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7013A-9C75-4AF0-B0F4-18E686775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7FF19-EB81-405C-A8F1-4A7BADAEF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15662</xdr:colOff>
      <xdr:row>36</xdr:row>
      <xdr:rowOff>35983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52D952A1-AB37-44A9-B919-058BA6E4C461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282825"/>
          <a:ext cx="7948082" cy="47730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66CEE-5EC6-4E7A-9027-3428AB58B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136D4-AA57-4E80-8261-3EB413436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37042</xdr:colOff>
      <xdr:row>2</xdr:row>
      <xdr:rowOff>35984</xdr:rowOff>
    </xdr:from>
    <xdr:to>
      <xdr:col>14</xdr:col>
      <xdr:colOff>312208</xdr:colOff>
      <xdr:row>16</xdr:row>
      <xdr:rowOff>112184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8974F-80B1-43EA-8755-7DF9604EA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42334</xdr:colOff>
      <xdr:row>16</xdr:row>
      <xdr:rowOff>169333</xdr:rowOff>
    </xdr:from>
    <xdr:to>
      <xdr:col>14</xdr:col>
      <xdr:colOff>296333</xdr:colOff>
      <xdr:row>32</xdr:row>
      <xdr:rowOff>122767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083B7-3EF7-406F-98EA-CB78C067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529164</xdr:colOff>
      <xdr:row>6</xdr:row>
      <xdr:rowOff>116415</xdr:rowOff>
    </xdr:from>
    <xdr:to>
      <xdr:col>17</xdr:col>
      <xdr:colOff>153616</xdr:colOff>
      <xdr:row>22</xdr:row>
      <xdr:rowOff>55081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A9D5A-25F6-4EF5-A792-DA2A0C9089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/>
        <a:stretch/>
      </xdr:blipFill>
      <xdr:spPr>
        <a:xfrm>
          <a:off x="6921497" y="1280582"/>
          <a:ext cx="6376619" cy="29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19</xdr:col>
      <xdr:colOff>153283</xdr:colOff>
      <xdr:row>14</xdr:row>
      <xdr:rowOff>67361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A79E70-0CAF-4B6B-955A-167EB54E9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7083" y="201083"/>
          <a:ext cx="6291617" cy="2554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629F-BC8C-477A-AB6C-A85D5674B22C}">
  <sheetPr>
    <tabColor theme="0" tint="-0.499984740745262"/>
  </sheetPr>
  <dimension ref="B2:G76"/>
  <sheetViews>
    <sheetView showGridLines="0" zoomScaleNormal="100" workbookViewId="0">
      <selection activeCell="C6" sqref="C6"/>
    </sheetView>
  </sheetViews>
  <sheetFormatPr defaultRowHeight="14.4" x14ac:dyDescent="0.3"/>
  <cols>
    <col min="1" max="1" width="3.6640625" customWidth="1"/>
    <col min="2" max="2" width="44" customWidth="1"/>
    <col min="6" max="7" width="13.44140625" customWidth="1"/>
  </cols>
  <sheetData>
    <row r="2" spans="2:7" x14ac:dyDescent="0.3">
      <c r="B2" s="1" t="s">
        <v>111</v>
      </c>
      <c r="C2" s="33" t="s">
        <v>108</v>
      </c>
      <c r="D2" s="33" t="s">
        <v>110</v>
      </c>
      <c r="E2" s="34" t="s">
        <v>109</v>
      </c>
      <c r="F2" s="33" t="s">
        <v>112</v>
      </c>
      <c r="G2" s="33" t="s">
        <v>113</v>
      </c>
    </row>
    <row r="3" spans="2:7" x14ac:dyDescent="0.3">
      <c r="B3" t="s">
        <v>106</v>
      </c>
      <c r="D3" s="7"/>
      <c r="E3" s="87"/>
      <c r="F3" s="87"/>
      <c r="G3" s="87"/>
    </row>
    <row r="4" spans="2:7" x14ac:dyDescent="0.3">
      <c r="B4" t="s">
        <v>107</v>
      </c>
      <c r="D4" s="7"/>
      <c r="E4" s="87"/>
      <c r="F4" s="87"/>
      <c r="G4" s="87"/>
    </row>
    <row r="5" spans="2:7" x14ac:dyDescent="0.3">
      <c r="B5" s="32" t="s">
        <v>115</v>
      </c>
    </row>
    <row r="37" spans="2:7" x14ac:dyDescent="0.3">
      <c r="B37" s="1" t="s">
        <v>114</v>
      </c>
      <c r="C37" s="33" t="s">
        <v>108</v>
      </c>
      <c r="D37" s="33" t="s">
        <v>110</v>
      </c>
      <c r="E37" s="34" t="s">
        <v>109</v>
      </c>
      <c r="F37" s="33" t="s">
        <v>112</v>
      </c>
      <c r="G37" s="33" t="s">
        <v>113</v>
      </c>
    </row>
    <row r="38" spans="2:7" x14ac:dyDescent="0.3">
      <c r="B38" t="s">
        <v>106</v>
      </c>
      <c r="D38" s="7"/>
      <c r="E38" s="86"/>
      <c r="F38" s="87"/>
      <c r="G38" s="87"/>
    </row>
    <row r="39" spans="2:7" x14ac:dyDescent="0.3">
      <c r="B39" t="s">
        <v>107</v>
      </c>
      <c r="D39" s="7"/>
      <c r="E39" s="86"/>
      <c r="F39" s="87"/>
      <c r="G39" s="87"/>
    </row>
    <row r="40" spans="2:7" x14ac:dyDescent="0.3">
      <c r="B40" s="32" t="s">
        <v>115</v>
      </c>
    </row>
    <row r="73" spans="2:7" x14ac:dyDescent="0.3">
      <c r="B73" s="1" t="s">
        <v>116</v>
      </c>
      <c r="C73" s="33" t="s">
        <v>108</v>
      </c>
      <c r="D73" s="33" t="s">
        <v>110</v>
      </c>
      <c r="E73" s="34" t="s">
        <v>109</v>
      </c>
      <c r="F73" s="33" t="s">
        <v>112</v>
      </c>
      <c r="G73" s="33" t="s">
        <v>113</v>
      </c>
    </row>
    <row r="74" spans="2:7" x14ac:dyDescent="0.3">
      <c r="B74" t="s">
        <v>106</v>
      </c>
      <c r="D74" s="7"/>
      <c r="E74" s="86"/>
      <c r="F74" s="87"/>
      <c r="G74" s="87"/>
    </row>
    <row r="75" spans="2:7" x14ac:dyDescent="0.3">
      <c r="B75" t="s">
        <v>107</v>
      </c>
      <c r="D75" s="7"/>
      <c r="E75" s="86"/>
      <c r="F75" s="87"/>
      <c r="G75" s="87"/>
    </row>
    <row r="76" spans="2:7" x14ac:dyDescent="0.3">
      <c r="B76" s="32" t="s">
        <v>115</v>
      </c>
    </row>
  </sheetData>
  <mergeCells count="9">
    <mergeCell ref="E74:E75"/>
    <mergeCell ref="F74:F75"/>
    <mergeCell ref="G74:G75"/>
    <mergeCell ref="E3:E4"/>
    <mergeCell ref="F3:F4"/>
    <mergeCell ref="G3:G4"/>
    <mergeCell ref="E38:E39"/>
    <mergeCell ref="F38:F39"/>
    <mergeCell ref="G38:G3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81DC-56DF-42F7-BE23-A8B7109DE83D}">
  <sheetPr>
    <tabColor theme="0" tint="-0.499984740745262"/>
  </sheetPr>
  <dimension ref="B1:W28"/>
  <sheetViews>
    <sheetView zoomScale="90" zoomScaleNormal="90" workbookViewId="0">
      <selection activeCell="C19" sqref="C19"/>
    </sheetView>
  </sheetViews>
  <sheetFormatPr defaultRowHeight="14.4" x14ac:dyDescent="0.3"/>
  <cols>
    <col min="1" max="1" width="3.6640625" customWidth="1"/>
    <col min="2" max="2" width="15.5546875" customWidth="1"/>
    <col min="9" max="9" width="11.6640625" customWidth="1"/>
  </cols>
  <sheetData>
    <row r="1" spans="2:23" ht="15" thickBot="1" x14ac:dyDescent="0.35"/>
    <row r="2" spans="2:23" ht="15" thickBot="1" x14ac:dyDescent="0.35">
      <c r="B2" s="88" t="s">
        <v>138</v>
      </c>
      <c r="C2" s="89"/>
      <c r="D2" s="89"/>
      <c r="E2" s="89"/>
      <c r="F2" s="90"/>
      <c r="H2" s="15" t="s">
        <v>126</v>
      </c>
      <c r="I2" s="17">
        <v>50</v>
      </c>
      <c r="K2" s="88" t="s">
        <v>140</v>
      </c>
      <c r="L2" s="89"/>
      <c r="M2" s="89"/>
      <c r="N2" s="89"/>
      <c r="O2" s="90"/>
      <c r="T2" t="s">
        <v>148</v>
      </c>
    </row>
    <row r="3" spans="2:23" ht="15" thickBot="1" x14ac:dyDescent="0.35">
      <c r="B3" s="36"/>
      <c r="C3" s="27" t="s">
        <v>118</v>
      </c>
      <c r="D3" s="27" t="s">
        <v>119</v>
      </c>
      <c r="E3" s="27" t="s">
        <v>120</v>
      </c>
      <c r="F3" s="45" t="s">
        <v>121</v>
      </c>
      <c r="H3" s="35" t="s">
        <v>127</v>
      </c>
      <c r="I3" s="26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 t="e">
        <f>-L8</f>
        <v>#REF!</v>
      </c>
      <c r="U3" t="e">
        <f t="shared" ref="U3:W3" si="0">-M8</f>
        <v>#REF!</v>
      </c>
      <c r="V3" t="e">
        <f t="shared" si="0"/>
        <v>#REF!</v>
      </c>
      <c r="W3" t="e">
        <f t="shared" si="0"/>
        <v>#REF!</v>
      </c>
    </row>
    <row r="4" spans="2:23" ht="15" thickBot="1" x14ac:dyDescent="0.35">
      <c r="B4" s="18" t="s">
        <v>122</v>
      </c>
      <c r="C4" s="19" t="e">
        <f>#REF!*$H$10</f>
        <v>#REF!</v>
      </c>
      <c r="D4" s="19" t="e">
        <f>#REF!*$I$10</f>
        <v>#REF!</v>
      </c>
      <c r="E4" s="19" t="e">
        <f>#REF!*$H$10</f>
        <v>#REF!</v>
      </c>
      <c r="F4" s="20" t="e">
        <f>#REF!*$I$10</f>
        <v>#REF!</v>
      </c>
      <c r="K4" s="18">
        <f>I3</f>
        <v>250</v>
      </c>
      <c r="L4" s="19" t="e">
        <f>L5-($I$3-$I$2)*F4</f>
        <v>#REF!</v>
      </c>
      <c r="M4" s="19" t="e">
        <f>M5-($I$3-$I$2)*F5</f>
        <v>#REF!</v>
      </c>
      <c r="N4" s="19" t="e">
        <f>N5-($I$3-$I$2)*F7</f>
        <v>#REF!</v>
      </c>
      <c r="O4" s="20" t="e">
        <f>O5-($I$3-$I$2)*F8</f>
        <v>#REF!</v>
      </c>
      <c r="P4" t="s">
        <v>146</v>
      </c>
      <c r="S4">
        <f>(S3+S5)/2</f>
        <v>-150</v>
      </c>
      <c r="T4" t="e">
        <f>(T3+T5)/2</f>
        <v>#REF!</v>
      </c>
      <c r="U4" t="e">
        <f t="shared" ref="U4:W4" si="1">(U3+U5)/2</f>
        <v>#REF!</v>
      </c>
      <c r="V4" t="e">
        <f t="shared" si="1"/>
        <v>#REF!</v>
      </c>
      <c r="W4" t="e">
        <f t="shared" si="1"/>
        <v>#REF!</v>
      </c>
    </row>
    <row r="5" spans="2:23" x14ac:dyDescent="0.3">
      <c r="B5" s="18" t="s">
        <v>123</v>
      </c>
      <c r="C5" s="19" t="e">
        <f>#REF!*$H$7</f>
        <v>#REF!</v>
      </c>
      <c r="D5" s="19" t="e">
        <f>#REF!*$I$7</f>
        <v>#REF!</v>
      </c>
      <c r="E5" s="19" t="e">
        <f>#REF!*$H$7</f>
        <v>#REF!</v>
      </c>
      <c r="F5" s="20" t="e">
        <f>#REF!*$I$7</f>
        <v>#REF!</v>
      </c>
      <c r="H5" s="15" t="s">
        <v>151</v>
      </c>
      <c r="I5" s="17"/>
      <c r="K5" s="18">
        <f>I2</f>
        <v>50</v>
      </c>
      <c r="L5" s="19" t="e">
        <f>-E4*$I$2</f>
        <v>#REF!</v>
      </c>
      <c r="M5" s="19" t="e">
        <f>-E5*$I$2</f>
        <v>#REF!</v>
      </c>
      <c r="N5" s="19" t="e">
        <f>-E7*$I$2</f>
        <v>#REF!</v>
      </c>
      <c r="O5" s="20" t="e">
        <f>-E8*$I$2</f>
        <v>#REF!</v>
      </c>
      <c r="S5">
        <f>-I2</f>
        <v>-50</v>
      </c>
      <c r="T5" t="e">
        <f>-L7</f>
        <v>#REF!</v>
      </c>
      <c r="U5" t="e">
        <f t="shared" ref="U5:W5" si="2">-M7</f>
        <v>#REF!</v>
      </c>
      <c r="V5" t="e">
        <f t="shared" si="2"/>
        <v>#REF!</v>
      </c>
      <c r="W5" t="e">
        <f t="shared" si="2"/>
        <v>#REF!</v>
      </c>
    </row>
    <row r="6" spans="2:23" x14ac:dyDescent="0.3">
      <c r="B6" s="18"/>
      <c r="C6" s="19"/>
      <c r="D6" s="19"/>
      <c r="E6" s="19"/>
      <c r="F6" s="20"/>
      <c r="H6" s="28" t="s">
        <v>153</v>
      </c>
      <c r="I6" s="20" t="s">
        <v>154</v>
      </c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19" t="e">
        <f>#REF!*$H$10</f>
        <v>#REF!</v>
      </c>
      <c r="D7" s="19" t="e">
        <f>#REF!*$I$10</f>
        <v>#REF!</v>
      </c>
      <c r="E7" s="19" t="e">
        <f>#REF!*$H$10</f>
        <v>#REF!</v>
      </c>
      <c r="F7" s="20" t="e">
        <f>#REF!*$I$10</f>
        <v>#REF!</v>
      </c>
      <c r="H7" s="31">
        <v>2</v>
      </c>
      <c r="I7" s="26">
        <v>1</v>
      </c>
      <c r="K7" s="18">
        <f>I2</f>
        <v>50</v>
      </c>
      <c r="L7" s="19" t="e">
        <f>C4*$I$2</f>
        <v>#REF!</v>
      </c>
      <c r="M7" s="19" t="e">
        <f>C5*$I$2</f>
        <v>#REF!</v>
      </c>
      <c r="N7" s="19" t="e">
        <f>C7*$I$2</f>
        <v>#REF!</v>
      </c>
      <c r="O7" s="20" t="e">
        <f>C8*$I$2</f>
        <v>#REF!</v>
      </c>
      <c r="S7">
        <f>I2</f>
        <v>50</v>
      </c>
      <c r="T7" t="e">
        <f>-L5</f>
        <v>#REF!</v>
      </c>
      <c r="U7" t="e">
        <f t="shared" ref="U7:W7" si="4">-M5</f>
        <v>#REF!</v>
      </c>
      <c r="V7" t="e">
        <f t="shared" si="4"/>
        <v>#REF!</v>
      </c>
      <c r="W7" t="e">
        <f t="shared" si="4"/>
        <v>#REF!</v>
      </c>
    </row>
    <row r="8" spans="2:23" ht="15" thickBot="1" x14ac:dyDescent="0.35">
      <c r="B8" s="24" t="s">
        <v>125</v>
      </c>
      <c r="C8" s="25" t="e">
        <f>#REF!*$H$7</f>
        <v>#REF!</v>
      </c>
      <c r="D8" s="25" t="e">
        <f>#REF!*$I$7</f>
        <v>#REF!</v>
      </c>
      <c r="E8" s="25" t="e">
        <f>#REF!*$H$7</f>
        <v>#REF!</v>
      </c>
      <c r="F8" s="26" t="e">
        <f>#REF!*$I$7</f>
        <v>#REF!</v>
      </c>
      <c r="H8" s="21" t="s">
        <v>152</v>
      </c>
      <c r="I8" s="20"/>
      <c r="K8" s="24">
        <f>I3</f>
        <v>250</v>
      </c>
      <c r="L8" s="25" t="e">
        <f>L7+($I$3-$I$2)*D4</f>
        <v>#REF!</v>
      </c>
      <c r="M8" s="25" t="e">
        <f>M7+($I$3-$I$2)*D5</f>
        <v>#REF!</v>
      </c>
      <c r="N8" s="25" t="e">
        <f>N7+($I$3-$I$2)*D7</f>
        <v>#REF!</v>
      </c>
      <c r="O8" s="26" t="e">
        <f>O7+($I$3-$I$2)*D8</f>
        <v>#REF!</v>
      </c>
      <c r="P8" t="s">
        <v>147</v>
      </c>
      <c r="S8">
        <f>(S7+S9)/2</f>
        <v>150</v>
      </c>
      <c r="T8" t="e">
        <f>(T7+T9)/2</f>
        <v>#REF!</v>
      </c>
      <c r="U8" t="e">
        <f t="shared" ref="U8:W8" si="5">(U7+U9)/2</f>
        <v>#REF!</v>
      </c>
      <c r="V8" t="e">
        <f t="shared" si="5"/>
        <v>#REF!</v>
      </c>
      <c r="W8" t="e">
        <f t="shared" si="5"/>
        <v>#REF!</v>
      </c>
    </row>
    <row r="9" spans="2:23" ht="15" thickBot="1" x14ac:dyDescent="0.35">
      <c r="H9" s="28" t="s">
        <v>153</v>
      </c>
      <c r="I9" s="20" t="s">
        <v>154</v>
      </c>
      <c r="S9">
        <f>I3</f>
        <v>250</v>
      </c>
      <c r="T9" t="e">
        <f>-L4</f>
        <v>#REF!</v>
      </c>
      <c r="U9" t="e">
        <f t="shared" ref="U9:W9" si="6">-M4</f>
        <v>#REF!</v>
      </c>
      <c r="V9" t="e">
        <f t="shared" si="6"/>
        <v>#REF!</v>
      </c>
      <c r="W9" t="e">
        <f t="shared" si="6"/>
        <v>#REF!</v>
      </c>
    </row>
    <row r="10" spans="2:23" ht="15" thickBot="1" x14ac:dyDescent="0.35">
      <c r="H10" s="24">
        <v>3</v>
      </c>
      <c r="I10" s="26">
        <v>1.5</v>
      </c>
      <c r="K10" s="88" t="s">
        <v>149</v>
      </c>
      <c r="L10" s="89"/>
      <c r="M10" s="89"/>
      <c r="N10" s="89"/>
      <c r="O10" s="90"/>
    </row>
    <row r="11" spans="2:23" ht="15" thickBot="1" x14ac:dyDescent="0.35">
      <c r="B11" s="88" t="s">
        <v>139</v>
      </c>
      <c r="C11" s="89"/>
      <c r="D11" s="89"/>
      <c r="E11" s="89"/>
      <c r="F11" s="90"/>
      <c r="K11" s="15" t="s">
        <v>150</v>
      </c>
      <c r="L11" s="16">
        <v>0.74</v>
      </c>
      <c r="M11" s="16">
        <v>1.2</v>
      </c>
      <c r="N11" s="16">
        <v>0.8</v>
      </c>
      <c r="O11" s="17">
        <v>0.87</v>
      </c>
    </row>
    <row r="12" spans="2:23" x14ac:dyDescent="0.3">
      <c r="B12" s="36" t="s">
        <v>133</v>
      </c>
      <c r="C12" s="16" t="e">
        <f>2*C4+C5</f>
        <v>#REF!</v>
      </c>
      <c r="D12" s="16" t="e">
        <f t="shared" ref="D12:F12" si="7">2*D4+D5</f>
        <v>#REF!</v>
      </c>
      <c r="E12" s="16" t="e">
        <f t="shared" si="7"/>
        <v>#REF!</v>
      </c>
      <c r="F12" s="17" t="e">
        <f t="shared" si="7"/>
        <v>#REF!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 t="s">
        <v>134</v>
      </c>
      <c r="C13" s="19" t="e">
        <f>2*C7+C8</f>
        <v>#REF!</v>
      </c>
      <c r="D13" s="19" t="e">
        <f t="shared" ref="D13:F13" si="8">2*D7+D8</f>
        <v>#REF!</v>
      </c>
      <c r="E13" s="19" t="e">
        <f t="shared" si="8"/>
        <v>#REF!</v>
      </c>
      <c r="F13" s="20" t="e">
        <f t="shared" si="8"/>
        <v>#REF!</v>
      </c>
      <c r="K13" s="18">
        <f>K4</f>
        <v>250</v>
      </c>
      <c r="L13" s="29" t="e">
        <f>L4/L$11^2</f>
        <v>#REF!</v>
      </c>
      <c r="M13" s="29" t="e">
        <f t="shared" ref="M13:O13" si="9">M4/M$11^2</f>
        <v>#REF!</v>
      </c>
      <c r="N13" s="29" t="e">
        <f t="shared" si="9"/>
        <v>#REF!</v>
      </c>
      <c r="O13" s="30" t="e">
        <f t="shared" si="9"/>
        <v>#REF!</v>
      </c>
    </row>
    <row r="14" spans="2:23" x14ac:dyDescent="0.3">
      <c r="B14" s="18"/>
      <c r="C14" s="19"/>
      <c r="D14" s="19"/>
      <c r="E14" s="19"/>
      <c r="F14" s="20"/>
      <c r="K14" s="18">
        <f t="shared" ref="K14:K17" si="10">K5</f>
        <v>50</v>
      </c>
      <c r="L14" s="29" t="e">
        <f t="shared" ref="L14:O17" si="11">L5/L$11^2</f>
        <v>#REF!</v>
      </c>
      <c r="M14" s="29" t="e">
        <f t="shared" si="11"/>
        <v>#REF!</v>
      </c>
      <c r="N14" s="29" t="e">
        <f t="shared" si="11"/>
        <v>#REF!</v>
      </c>
      <c r="O14" s="30" t="e">
        <f t="shared" si="11"/>
        <v>#REF!</v>
      </c>
    </row>
    <row r="15" spans="2:23" x14ac:dyDescent="0.3">
      <c r="B15" s="18" t="s">
        <v>135</v>
      </c>
      <c r="C15" s="19" t="e">
        <f>C4+E4+C7+E7</f>
        <v>#REF!</v>
      </c>
      <c r="D15" s="19" t="e">
        <f>D4+F4+D7+F7</f>
        <v>#REF!</v>
      </c>
      <c r="E15" s="19"/>
      <c r="F15" s="20"/>
      <c r="K15" s="18">
        <f t="shared" si="10"/>
        <v>0</v>
      </c>
      <c r="L15" s="29">
        <f t="shared" si="11"/>
        <v>0</v>
      </c>
      <c r="M15" s="29">
        <f t="shared" si="11"/>
        <v>0</v>
      </c>
      <c r="N15" s="29">
        <f t="shared" si="11"/>
        <v>0</v>
      </c>
      <c r="O15" s="30">
        <f t="shared" si="11"/>
        <v>0</v>
      </c>
    </row>
    <row r="16" spans="2:23" x14ac:dyDescent="0.3">
      <c r="B16" s="18"/>
      <c r="C16" s="19"/>
      <c r="D16" s="19"/>
      <c r="E16" s="19"/>
      <c r="F16" s="20"/>
      <c r="K16" s="18">
        <f t="shared" si="10"/>
        <v>50</v>
      </c>
      <c r="L16" s="29" t="e">
        <f t="shared" si="11"/>
        <v>#REF!</v>
      </c>
      <c r="M16" s="29" t="e">
        <f t="shared" si="11"/>
        <v>#REF!</v>
      </c>
      <c r="N16" s="29" t="e">
        <f t="shared" si="11"/>
        <v>#REF!</v>
      </c>
      <c r="O16" s="30" t="e">
        <f t="shared" si="11"/>
        <v>#REF!</v>
      </c>
    </row>
    <row r="17" spans="2:15" ht="15" thickBot="1" x14ac:dyDescent="0.35">
      <c r="B17" s="18" t="s">
        <v>136</v>
      </c>
      <c r="C17" s="19" t="e">
        <f>C4+0.5*C5</f>
        <v>#REF!</v>
      </c>
      <c r="D17" s="19" t="e">
        <f t="shared" ref="D17:F17" si="12">D4+0.5*D5</f>
        <v>#REF!</v>
      </c>
      <c r="E17" s="19" t="e">
        <f t="shared" si="12"/>
        <v>#REF!</v>
      </c>
      <c r="F17" s="20" t="e">
        <f t="shared" si="12"/>
        <v>#REF!</v>
      </c>
      <c r="K17" s="24">
        <f t="shared" si="10"/>
        <v>250</v>
      </c>
      <c r="L17" s="43" t="e">
        <f t="shared" si="11"/>
        <v>#REF!</v>
      </c>
      <c r="M17" s="43" t="e">
        <f t="shared" si="11"/>
        <v>#REF!</v>
      </c>
      <c r="N17" s="43" t="e">
        <f t="shared" si="11"/>
        <v>#REF!</v>
      </c>
      <c r="O17" s="44" t="e">
        <f t="shared" si="11"/>
        <v>#REF!</v>
      </c>
    </row>
    <row r="18" spans="2:15" ht="15" thickBot="1" x14ac:dyDescent="0.35">
      <c r="B18" s="24" t="s">
        <v>137</v>
      </c>
      <c r="C18" s="25" t="e">
        <f>C7+0.5*C8</f>
        <v>#REF!</v>
      </c>
      <c r="D18" s="25" t="e">
        <f t="shared" ref="D18:F18" si="13">D7+0.5*D8</f>
        <v>#REF!</v>
      </c>
      <c r="E18" s="25" t="e">
        <f t="shared" si="13"/>
        <v>#REF!</v>
      </c>
      <c r="F18" s="26" t="e">
        <f t="shared" si="13"/>
        <v>#REF!</v>
      </c>
    </row>
    <row r="20" spans="2:15" ht="15" thickBot="1" x14ac:dyDescent="0.35"/>
    <row r="21" spans="2:15" ht="15" thickBot="1" x14ac:dyDescent="0.35">
      <c r="B21" s="88" t="s">
        <v>141</v>
      </c>
      <c r="C21" s="89"/>
      <c r="D21" s="89"/>
      <c r="E21" s="89"/>
      <c r="F21" s="90"/>
    </row>
    <row r="22" spans="2:15" x14ac:dyDescent="0.3">
      <c r="B22" s="36" t="s">
        <v>133</v>
      </c>
      <c r="C22" s="37" t="e">
        <f>C12*1000/(2*SQRT('Input data'!$C$23*1000*'Input data'!$C$3*'Input data'!$C$4))</f>
        <v>#REF!</v>
      </c>
      <c r="D22" s="37" t="e">
        <f>D12*1000/(2*SQRT('Input data'!$C$23*1000*'Input data'!$C$3*'Input data'!$C$4))</f>
        <v>#REF!</v>
      </c>
      <c r="E22" s="37" t="e">
        <f>E12*1000/(2*SQRT('Input data'!$C$23*1000*'Input data'!$C$3*'Input data'!$C$4))</f>
        <v>#REF!</v>
      </c>
      <c r="F22" s="38" t="e">
        <f>F12*1000/(2*SQRT('Input data'!$C$23*1000*'Input data'!$C$3*'Input data'!$C$4))</f>
        <v>#REF!</v>
      </c>
    </row>
    <row r="23" spans="2:15" x14ac:dyDescent="0.3">
      <c r="B23" s="18" t="s">
        <v>134</v>
      </c>
      <c r="C23" s="39" t="e">
        <f>C13*1000/(2*SQRT('Input data'!$C$24*1000*'Input data'!$C$3*(1-'Input data'!$C$4)))</f>
        <v>#REF!</v>
      </c>
      <c r="D23" s="39" t="e">
        <f>D13*1000/(2*SQRT('Input data'!$C$24*1000*'Input data'!$C$3*(1-'Input data'!$C$4)))</f>
        <v>#REF!</v>
      </c>
      <c r="E23" s="39" t="e">
        <f>E13*1000/(2*SQRT('Input data'!$C$24*1000*'Input data'!$C$3*(1-'Input data'!$C$4)))</f>
        <v>#REF!</v>
      </c>
      <c r="F23" s="40" t="e">
        <f>F13*1000/(2*SQRT('Input data'!$C$24*1000*'Input data'!$C$3*(1-'Input data'!$C$4)))</f>
        <v>#REF!</v>
      </c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135</v>
      </c>
      <c r="C25" s="39" t="e">
        <f>C15*1000/'Roll mode'!$C$8/2</f>
        <v>#REF!</v>
      </c>
      <c r="D25" s="39" t="e">
        <f>D15*1000/'Roll mode'!$C$8/2</f>
        <v>#REF!</v>
      </c>
      <c r="E25" s="39"/>
      <c r="F25" s="40"/>
    </row>
    <row r="26" spans="2:15" x14ac:dyDescent="0.3">
      <c r="B26" s="18"/>
      <c r="C26" s="19"/>
      <c r="D26" s="19"/>
      <c r="E26" s="19"/>
      <c r="F26" s="20"/>
    </row>
    <row r="27" spans="2:15" x14ac:dyDescent="0.3">
      <c r="B27" s="18" t="s">
        <v>136</v>
      </c>
      <c r="C27" s="39" t="e">
        <f>C17*1000/(2*SQRT(('Input data'!$C$30/57.325/'Input data'!$C$10^2+0.5*'Input data'!$C$23)*1000*'Input data'!$C$3*'Input data'!$C$4/2))</f>
        <v>#REF!</v>
      </c>
      <c r="D27" s="39" t="e">
        <f>D17*1000/(2*SQRT(('Input data'!$C$30/57.325/'Input data'!$C$10^2+0.5*'Input data'!$C$23)*1000*'Input data'!$C$3*'Input data'!$C$4/2))</f>
        <v>#REF!</v>
      </c>
      <c r="E27" s="39" t="e">
        <f>E17*1000/(2*SQRT(('Input data'!$C$30/57.325/'Input data'!$C$10^2+0.5*'Input data'!$C$23)*1000*'Input data'!$C$3*'Input data'!$C$4/2))</f>
        <v>#REF!</v>
      </c>
      <c r="F27" s="40" t="e">
        <f>F17*1000/(2*SQRT(('Input data'!$C$30/57.325/'Input data'!$C$10^2+0.5*'Input data'!$C$23)*1000*'Input data'!$C$3*'Input data'!$C$4/2))</f>
        <v>#REF!</v>
      </c>
    </row>
    <row r="28" spans="2:15" ht="15" thickBot="1" x14ac:dyDescent="0.35">
      <c r="B28" s="24" t="s">
        <v>137</v>
      </c>
      <c r="C28" s="41" t="e">
        <f>C17*1000/(2*SQRT(('Input data'!$C$31/57.325/'Input data'!$C$11^2+0.5*'Input data'!$C$24)*1000*'Input data'!$C$3*(1-'Input data'!$C$4)/2))</f>
        <v>#REF!</v>
      </c>
      <c r="D28" s="41" t="e">
        <f>D17*1000/(2*SQRT(('Input data'!$C$31/57.325/'Input data'!$C$11^2+0.5*'Input data'!$C$24)*1000*'Input data'!$C$3*(1-'Input data'!$C$4)/2))</f>
        <v>#REF!</v>
      </c>
      <c r="E28" s="41" t="e">
        <f>E17*1000/(2*SQRT(('Input data'!$C$31/57.325/'Input data'!$C$11^2+0.5*'Input data'!$C$24)*1000*'Input data'!$C$3*(1-'Input data'!$C$4)/2))</f>
        <v>#REF!</v>
      </c>
      <c r="F28" s="42" t="e">
        <f>F17*1000/(2*SQRT(('Input data'!$C$31/57.325/'Input data'!$C$11^2+0.5*'Input data'!$C$24)*1000*'Input data'!$C$3*(1-'Input data'!$C$4)/2))</f>
        <v>#REF!</v>
      </c>
    </row>
  </sheetData>
  <sheetProtection sheet="1" objects="1" scenarios="1"/>
  <mergeCells count="5">
    <mergeCell ref="B2:F2"/>
    <mergeCell ref="K2:O2"/>
    <mergeCell ref="K10:O10"/>
    <mergeCell ref="B11:F11"/>
    <mergeCell ref="B21:F2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0943-7B6F-4B20-8BD0-89B7F290AF06}">
  <sheetPr>
    <tabColor theme="0" tint="-0.499984740745262"/>
  </sheetPr>
  <dimension ref="B2:G76"/>
  <sheetViews>
    <sheetView workbookViewId="0">
      <selection activeCell="C39" sqref="C39"/>
    </sheetView>
  </sheetViews>
  <sheetFormatPr defaultRowHeight="14.4" x14ac:dyDescent="0.3"/>
  <cols>
    <col min="1" max="1" width="3.6640625" customWidth="1"/>
    <col min="2" max="2" width="44" customWidth="1"/>
    <col min="6" max="7" width="13.44140625" customWidth="1"/>
  </cols>
  <sheetData>
    <row r="2" spans="2:7" x14ac:dyDescent="0.3">
      <c r="B2" s="1" t="s">
        <v>111</v>
      </c>
      <c r="C2" s="33" t="s">
        <v>108</v>
      </c>
      <c r="D2" s="33" t="s">
        <v>110</v>
      </c>
      <c r="E2" s="34" t="s">
        <v>109</v>
      </c>
      <c r="F2" s="33" t="s">
        <v>112</v>
      </c>
      <c r="G2" s="33" t="s">
        <v>113</v>
      </c>
    </row>
    <row r="3" spans="2:7" x14ac:dyDescent="0.3">
      <c r="B3" t="s">
        <v>106</v>
      </c>
      <c r="C3">
        <v>6.5</v>
      </c>
      <c r="D3" s="7">
        <f>C3/(C3+C4)</f>
        <v>0.5803571428571429</v>
      </c>
      <c r="E3" s="87">
        <v>0.74</v>
      </c>
      <c r="F3" s="87">
        <v>2.66</v>
      </c>
      <c r="G3" s="87">
        <v>5.49</v>
      </c>
    </row>
    <row r="4" spans="2:7" x14ac:dyDescent="0.3">
      <c r="B4" t="s">
        <v>107</v>
      </c>
      <c r="C4">
        <v>4.7</v>
      </c>
      <c r="D4" s="7">
        <f>C4/(C4+C3)</f>
        <v>0.41964285714285721</v>
      </c>
      <c r="E4" s="87"/>
      <c r="F4" s="87"/>
      <c r="G4" s="87"/>
    </row>
    <row r="5" spans="2:7" x14ac:dyDescent="0.3">
      <c r="B5" s="32" t="s">
        <v>115</v>
      </c>
    </row>
    <row r="37" spans="2:7" x14ac:dyDescent="0.3">
      <c r="B37" s="1" t="s">
        <v>114</v>
      </c>
      <c r="C37" s="33" t="s">
        <v>108</v>
      </c>
      <c r="D37" s="33" t="s">
        <v>110</v>
      </c>
      <c r="E37" s="34" t="s">
        <v>109</v>
      </c>
      <c r="F37" s="33" t="s">
        <v>112</v>
      </c>
      <c r="G37" s="33" t="s">
        <v>113</v>
      </c>
    </row>
    <row r="38" spans="2:7" x14ac:dyDescent="0.3">
      <c r="B38" t="s">
        <v>106</v>
      </c>
      <c r="C38">
        <f>12.25*2</f>
        <v>24.5</v>
      </c>
      <c r="D38" s="7">
        <f>C38/(C38+C39)</f>
        <v>0.53030303030303028</v>
      </c>
      <c r="E38" s="86">
        <v>0.7</v>
      </c>
      <c r="F38" s="87">
        <v>2.2999999999999998</v>
      </c>
      <c r="G38" s="87">
        <v>4</v>
      </c>
    </row>
    <row r="39" spans="2:7" x14ac:dyDescent="0.3">
      <c r="B39" t="s">
        <v>107</v>
      </c>
      <c r="C39">
        <f>10.85*2</f>
        <v>21.7</v>
      </c>
      <c r="D39" s="7">
        <f>C39/(C39+C38)</f>
        <v>0.46969696969696967</v>
      </c>
      <c r="E39" s="86"/>
      <c r="F39" s="87"/>
      <c r="G39" s="87"/>
    </row>
    <row r="40" spans="2:7" x14ac:dyDescent="0.3">
      <c r="B40" s="32" t="s">
        <v>115</v>
      </c>
    </row>
    <row r="73" spans="2:7" x14ac:dyDescent="0.3">
      <c r="B73" s="1" t="s">
        <v>116</v>
      </c>
      <c r="C73" s="33" t="s">
        <v>108</v>
      </c>
      <c r="D73" s="33" t="s">
        <v>110</v>
      </c>
      <c r="E73" s="34" t="s">
        <v>109</v>
      </c>
      <c r="F73" s="33" t="s">
        <v>112</v>
      </c>
      <c r="G73" s="33" t="s">
        <v>113</v>
      </c>
    </row>
    <row r="74" spans="2:7" x14ac:dyDescent="0.3">
      <c r="B74" t="s">
        <v>106</v>
      </c>
      <c r="C74">
        <f>12.25*2</f>
        <v>24.5</v>
      </c>
      <c r="D74" s="7">
        <f>C74/(C74+C75)</f>
        <v>0.53030303030303028</v>
      </c>
      <c r="E74" s="86"/>
      <c r="F74" s="87">
        <v>2.6</v>
      </c>
      <c r="G74" s="87">
        <v>5.4</v>
      </c>
    </row>
    <row r="75" spans="2:7" x14ac:dyDescent="0.3">
      <c r="B75" t="s">
        <v>107</v>
      </c>
      <c r="C75">
        <f>10.85*2</f>
        <v>21.7</v>
      </c>
      <c r="D75" s="7">
        <f>C75/(C75+C74)</f>
        <v>0.46969696969696967</v>
      </c>
      <c r="E75" s="86"/>
      <c r="F75" s="87"/>
      <c r="G75" s="87"/>
    </row>
    <row r="76" spans="2:7" x14ac:dyDescent="0.3">
      <c r="B76" s="32" t="s">
        <v>115</v>
      </c>
    </row>
  </sheetData>
  <mergeCells count="9">
    <mergeCell ref="E74:E75"/>
    <mergeCell ref="F74:F75"/>
    <mergeCell ref="G74:G75"/>
    <mergeCell ref="E3:E4"/>
    <mergeCell ref="F3:F4"/>
    <mergeCell ref="G3:G4"/>
    <mergeCell ref="E38:E39"/>
    <mergeCell ref="F38:F39"/>
    <mergeCell ref="G38:G3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6DB3-FECD-4833-8F4E-2D98AE3C2DD3}">
  <sheetPr>
    <tabColor theme="0" tint="-0.499984740745262"/>
  </sheetPr>
  <dimension ref="I17"/>
  <sheetViews>
    <sheetView workbookViewId="0"/>
  </sheetViews>
  <sheetFormatPr defaultRowHeight="14.4" x14ac:dyDescent="0.3"/>
  <cols>
    <col min="1" max="1" width="3.6640625" customWidth="1"/>
  </cols>
  <sheetData>
    <row r="17" spans="9:9" x14ac:dyDescent="0.3">
      <c r="I17" t="s">
        <v>101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922D-AF05-44B0-9A8C-9FCEA43E4C33}">
  <sheetPr>
    <tabColor theme="0" tint="-0.499984740745262"/>
  </sheetPr>
  <dimension ref="B2:C6"/>
  <sheetViews>
    <sheetView workbookViewId="0">
      <selection activeCell="B7" sqref="B7"/>
    </sheetView>
  </sheetViews>
  <sheetFormatPr defaultRowHeight="14.4" x14ac:dyDescent="0.3"/>
  <sheetData>
    <row r="2" spans="2:3" x14ac:dyDescent="0.3">
      <c r="B2" s="78" t="s">
        <v>177</v>
      </c>
      <c r="C2" s="78"/>
    </row>
    <row r="3" spans="2:3" x14ac:dyDescent="0.3">
      <c r="B3" t="s">
        <v>178</v>
      </c>
    </row>
    <row r="4" spans="2:3" x14ac:dyDescent="0.3">
      <c r="B4" t="s">
        <v>179</v>
      </c>
    </row>
    <row r="5" spans="2:3" x14ac:dyDescent="0.3">
      <c r="B5" t="s">
        <v>180</v>
      </c>
    </row>
    <row r="6" spans="2:3" x14ac:dyDescent="0.3">
      <c r="B6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F1CE-2FD1-42BA-BC52-3A980DEA7812}">
  <sheetPr>
    <tabColor rgb="FFFFFF00"/>
  </sheetPr>
  <dimension ref="A1:J37"/>
  <sheetViews>
    <sheetView tabSelected="1" zoomScale="90" zoomScaleNormal="90" workbookViewId="0">
      <selection activeCell="A28" sqref="A28:XFD28"/>
    </sheetView>
  </sheetViews>
  <sheetFormatPr defaultRowHeight="14.4" x14ac:dyDescent="0.3"/>
  <cols>
    <col min="1" max="1" width="3.6640625" customWidth="1"/>
    <col min="2" max="2" width="35.6640625" customWidth="1"/>
    <col min="5" max="5" width="10" bestFit="1" customWidth="1"/>
    <col min="6" max="6" width="3.6640625" customWidth="1"/>
    <col min="7" max="7" width="35.6640625" customWidth="1"/>
  </cols>
  <sheetData>
    <row r="1" spans="1:10" ht="15" thickBot="1" x14ac:dyDescent="0.35"/>
    <row r="2" spans="1:10" ht="15" thickBot="1" x14ac:dyDescent="0.35">
      <c r="B2" s="55" t="s">
        <v>24</v>
      </c>
      <c r="C2" s="56" t="s">
        <v>0</v>
      </c>
      <c r="D2" s="57" t="s">
        <v>1</v>
      </c>
      <c r="G2" s="58" t="s">
        <v>25</v>
      </c>
      <c r="H2" s="59" t="s">
        <v>0</v>
      </c>
      <c r="I2" s="60" t="s">
        <v>1</v>
      </c>
    </row>
    <row r="3" spans="1:10" x14ac:dyDescent="0.3">
      <c r="B3" t="s">
        <v>2</v>
      </c>
      <c r="C3" s="54">
        <v>975</v>
      </c>
      <c r="D3" t="s">
        <v>3</v>
      </c>
      <c r="G3" t="s">
        <v>26</v>
      </c>
      <c r="H3" s="6">
        <f>C3*C4</f>
        <v>443.625</v>
      </c>
      <c r="I3" t="s">
        <v>3</v>
      </c>
    </row>
    <row r="4" spans="1:10" x14ac:dyDescent="0.3">
      <c r="B4" t="s">
        <v>4</v>
      </c>
      <c r="C4" s="54">
        <v>0.45500000000000002</v>
      </c>
      <c r="D4" t="s">
        <v>5</v>
      </c>
      <c r="G4" t="s">
        <v>27</v>
      </c>
      <c r="H4" s="6">
        <f>C3*(1-C4)</f>
        <v>531.37499999999989</v>
      </c>
      <c r="I4" t="s">
        <v>3</v>
      </c>
    </row>
    <row r="5" spans="1:10" x14ac:dyDescent="0.3">
      <c r="B5" t="s">
        <v>22</v>
      </c>
      <c r="C5" s="63">
        <v>0.32</v>
      </c>
      <c r="D5" t="s">
        <v>23</v>
      </c>
    </row>
    <row r="6" spans="1:10" x14ac:dyDescent="0.3">
      <c r="A6" s="66"/>
      <c r="B6" t="s">
        <v>155</v>
      </c>
      <c r="C6" s="63">
        <v>2.5000000000000001E-2</v>
      </c>
      <c r="D6" t="s">
        <v>23</v>
      </c>
      <c r="G6" t="s">
        <v>28</v>
      </c>
      <c r="H6" s="5">
        <f>C6*C4+C7*(1-C4)</f>
        <v>6.3149999999999998E-2</v>
      </c>
      <c r="I6" t="s">
        <v>23</v>
      </c>
    </row>
    <row r="7" spans="1:10" x14ac:dyDescent="0.3">
      <c r="A7" s="66"/>
      <c r="B7" t="s">
        <v>156</v>
      </c>
      <c r="C7" s="63">
        <v>9.5000000000000001E-2</v>
      </c>
      <c r="D7" t="s">
        <v>23</v>
      </c>
      <c r="G7" t="s">
        <v>32</v>
      </c>
      <c r="H7" s="5">
        <f>C5-H6</f>
        <v>0.25685000000000002</v>
      </c>
      <c r="I7" t="s">
        <v>23</v>
      </c>
    </row>
    <row r="9" spans="1:10" x14ac:dyDescent="0.3">
      <c r="B9" t="s">
        <v>29</v>
      </c>
      <c r="C9" s="63">
        <v>3.14</v>
      </c>
      <c r="D9" t="s">
        <v>23</v>
      </c>
      <c r="G9" t="s">
        <v>50</v>
      </c>
      <c r="H9" s="6">
        <f>C30+C31</f>
        <v>7758</v>
      </c>
      <c r="I9" t="s">
        <v>20</v>
      </c>
    </row>
    <row r="10" spans="1:10" x14ac:dyDescent="0.3">
      <c r="B10" t="s">
        <v>30</v>
      </c>
      <c r="C10" s="63">
        <v>1.665</v>
      </c>
      <c r="D10" t="s">
        <v>23</v>
      </c>
      <c r="G10" t="s">
        <v>162</v>
      </c>
      <c r="H10" s="7">
        <f>C3*H7*9.81/H9</f>
        <v>0.31666744489559173</v>
      </c>
      <c r="I10" t="s">
        <v>51</v>
      </c>
    </row>
    <row r="11" spans="1:10" x14ac:dyDescent="0.3">
      <c r="B11" t="s">
        <v>31</v>
      </c>
      <c r="C11" s="63">
        <v>1.623</v>
      </c>
      <c r="D11" t="s">
        <v>23</v>
      </c>
      <c r="G11" t="s">
        <v>161</v>
      </c>
      <c r="H11" s="7">
        <f>(C3+2*C16+2*C17)*H7*9.81/H9</f>
        <v>0.37188125580046411</v>
      </c>
      <c r="I11" t="s">
        <v>51</v>
      </c>
    </row>
    <row r="12" spans="1:10" x14ac:dyDescent="0.3">
      <c r="G12" t="s">
        <v>57</v>
      </c>
      <c r="H12" s="7">
        <f>C30/H9</f>
        <v>0.68007218355246202</v>
      </c>
      <c r="I12" t="s">
        <v>5</v>
      </c>
    </row>
    <row r="13" spans="1:10" x14ac:dyDescent="0.3">
      <c r="A13" s="66"/>
      <c r="B13" t="s">
        <v>97</v>
      </c>
      <c r="C13" s="64">
        <v>1400</v>
      </c>
      <c r="D13" t="s">
        <v>49</v>
      </c>
    </row>
    <row r="14" spans="1:10" x14ac:dyDescent="0.3">
      <c r="A14" s="66"/>
      <c r="B14" t="s">
        <v>98</v>
      </c>
      <c r="C14" s="64">
        <v>220</v>
      </c>
      <c r="D14" t="s">
        <v>49</v>
      </c>
      <c r="G14" t="s">
        <v>96</v>
      </c>
      <c r="H14" s="6">
        <f>C13+C3*C5^2</f>
        <v>1499.84</v>
      </c>
      <c r="I14" t="s">
        <v>49</v>
      </c>
    </row>
    <row r="15" spans="1:10" x14ac:dyDescent="0.3">
      <c r="G15" t="s">
        <v>95</v>
      </c>
      <c r="H15" s="6">
        <f>C14+C3*H7^2</f>
        <v>284.3226244375</v>
      </c>
      <c r="I15" t="s">
        <v>49</v>
      </c>
    </row>
    <row r="16" spans="1:10" x14ac:dyDescent="0.3">
      <c r="B16" t="s">
        <v>6</v>
      </c>
      <c r="C16" s="54">
        <v>40</v>
      </c>
      <c r="D16" t="s">
        <v>3</v>
      </c>
      <c r="J16" s="69" t="s">
        <v>176</v>
      </c>
    </row>
    <row r="17" spans="1:9" x14ac:dyDescent="0.3">
      <c r="B17" t="s">
        <v>7</v>
      </c>
      <c r="C17" s="54">
        <v>45</v>
      </c>
      <c r="D17" t="s">
        <v>3</v>
      </c>
      <c r="G17" t="s">
        <v>143</v>
      </c>
      <c r="H17">
        <f>('Input data'!$C$11*'Input data'!$C$4+(1-'Input data'!$C$4)*'Input data'!$C$10)</f>
        <v>1.6458900000000001</v>
      </c>
      <c r="I17" t="s">
        <v>23</v>
      </c>
    </row>
    <row r="19" spans="1:9" x14ac:dyDescent="0.3">
      <c r="B19" t="s">
        <v>8</v>
      </c>
      <c r="C19" s="54">
        <v>240</v>
      </c>
      <c r="D19" t="s">
        <v>9</v>
      </c>
    </row>
    <row r="20" spans="1:9" x14ac:dyDescent="0.3">
      <c r="B20" t="s">
        <v>10</v>
      </c>
      <c r="C20" s="54">
        <v>160</v>
      </c>
      <c r="D20" t="s">
        <v>9</v>
      </c>
    </row>
    <row r="21" spans="1:9" x14ac:dyDescent="0.3">
      <c r="A21" s="67"/>
      <c r="B21" t="s">
        <v>11</v>
      </c>
      <c r="C21" s="54">
        <v>240</v>
      </c>
      <c r="D21" t="s">
        <v>9</v>
      </c>
    </row>
    <row r="22" spans="1:9" x14ac:dyDescent="0.3">
      <c r="A22" s="67"/>
      <c r="B22" t="s">
        <v>12</v>
      </c>
      <c r="C22" s="54">
        <v>160</v>
      </c>
      <c r="D22" t="s">
        <v>9</v>
      </c>
    </row>
    <row r="23" spans="1:9" x14ac:dyDescent="0.3">
      <c r="A23" s="67"/>
      <c r="B23" t="s">
        <v>13</v>
      </c>
      <c r="C23" s="54">
        <v>255</v>
      </c>
      <c r="D23" t="s">
        <v>9</v>
      </c>
    </row>
    <row r="24" spans="1:9" x14ac:dyDescent="0.3">
      <c r="A24" s="67"/>
      <c r="B24" t="s">
        <v>14</v>
      </c>
      <c r="C24" s="54">
        <v>160</v>
      </c>
      <c r="D24" t="s">
        <v>9</v>
      </c>
    </row>
    <row r="25" spans="1:9" x14ac:dyDescent="0.3">
      <c r="A25" s="67"/>
      <c r="B25" t="s">
        <v>15</v>
      </c>
      <c r="C25" s="54">
        <v>370</v>
      </c>
      <c r="D25" t="s">
        <v>9</v>
      </c>
    </row>
    <row r="26" spans="1:9" x14ac:dyDescent="0.3">
      <c r="A26" s="67"/>
      <c r="B26" t="s">
        <v>16</v>
      </c>
      <c r="C26" s="54">
        <v>320</v>
      </c>
      <c r="D26" t="s">
        <v>9</v>
      </c>
    </row>
    <row r="27" spans="1:9" x14ac:dyDescent="0.3">
      <c r="A27" s="67"/>
      <c r="B27" t="s">
        <v>17</v>
      </c>
      <c r="C27" s="54">
        <v>910</v>
      </c>
      <c r="D27" t="s">
        <v>9</v>
      </c>
    </row>
    <row r="28" spans="1:9" x14ac:dyDescent="0.3">
      <c r="A28" s="67"/>
      <c r="B28" t="s">
        <v>18</v>
      </c>
      <c r="C28" s="54">
        <v>760</v>
      </c>
      <c r="D28" t="s">
        <v>9</v>
      </c>
    </row>
    <row r="30" spans="1:9" x14ac:dyDescent="0.3">
      <c r="B30" t="s">
        <v>19</v>
      </c>
      <c r="C30" s="65">
        <v>5276</v>
      </c>
      <c r="D30" t="s">
        <v>20</v>
      </c>
    </row>
    <row r="31" spans="1:9" x14ac:dyDescent="0.3">
      <c r="B31" t="s">
        <v>21</v>
      </c>
      <c r="C31" s="65">
        <v>2482</v>
      </c>
      <c r="D31" t="s">
        <v>20</v>
      </c>
    </row>
    <row r="32" spans="1:9" x14ac:dyDescent="0.3">
      <c r="C32" s="6"/>
    </row>
    <row r="33" spans="1:6" x14ac:dyDescent="0.3">
      <c r="E33" t="s">
        <v>163</v>
      </c>
    </row>
    <row r="34" spans="1:6" x14ac:dyDescent="0.3">
      <c r="A34" s="70"/>
      <c r="B34" t="s">
        <v>72</v>
      </c>
      <c r="C34" s="54">
        <v>4520</v>
      </c>
      <c r="D34" t="s">
        <v>46</v>
      </c>
      <c r="E34" s="5">
        <f>C34/(C34+C35)</f>
        <v>0.6796992481203008</v>
      </c>
      <c r="F34" s="5"/>
    </row>
    <row r="35" spans="1:6" x14ac:dyDescent="0.3">
      <c r="A35" s="70"/>
      <c r="B35" t="s">
        <v>73</v>
      </c>
      <c r="C35" s="54">
        <v>2130</v>
      </c>
      <c r="D35" t="s">
        <v>46</v>
      </c>
    </row>
    <row r="36" spans="1:6" x14ac:dyDescent="0.3">
      <c r="A36" s="71"/>
      <c r="B36" t="s">
        <v>74</v>
      </c>
      <c r="C36" s="54">
        <v>7090</v>
      </c>
      <c r="D36" t="s">
        <v>46</v>
      </c>
    </row>
    <row r="37" spans="1:6" x14ac:dyDescent="0.3">
      <c r="A37" s="71"/>
      <c r="B37" t="s">
        <v>75</v>
      </c>
      <c r="C37" s="54">
        <v>7420</v>
      </c>
      <c r="D37" t="s">
        <v>46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81CD-957F-49AA-B96D-C02363D45E2E}">
  <sheetPr>
    <tabColor rgb="FF92D050"/>
  </sheetPr>
  <dimension ref="B1:W36"/>
  <sheetViews>
    <sheetView showGridLines="0" zoomScale="90" zoomScaleNormal="90" workbookViewId="0">
      <selection activeCell="C25" sqref="C25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8" t="s">
        <v>138</v>
      </c>
      <c r="C2" s="89"/>
      <c r="D2" s="89"/>
      <c r="E2" s="89"/>
      <c r="F2" s="90"/>
      <c r="H2" s="15" t="s">
        <v>126</v>
      </c>
      <c r="I2" s="51">
        <v>50</v>
      </c>
      <c r="K2" s="88" t="s">
        <v>140</v>
      </c>
      <c r="L2" s="89"/>
      <c r="M2" s="89"/>
      <c r="N2" s="89"/>
      <c r="O2" s="90"/>
      <c r="S2" s="91" t="s">
        <v>148</v>
      </c>
      <c r="T2" s="91"/>
      <c r="U2" s="91"/>
      <c r="V2" s="91"/>
      <c r="W2" s="91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47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-567.19999999999993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47">
        <f>'Input data'!C36/1000*2/($I$7+1)</f>
        <v>5.6719999999999997</v>
      </c>
      <c r="D5" s="47">
        <f>C5*$I$5</f>
        <v>2.8359999999999999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-283.59999999999997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283.59999999999997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8" t="s">
        <v>139</v>
      </c>
      <c r="C10" s="89"/>
      <c r="D10" s="89"/>
      <c r="E10" s="89"/>
      <c r="F10" s="90"/>
      <c r="K10" s="88" t="s">
        <v>149</v>
      </c>
      <c r="L10" s="89"/>
      <c r="M10" s="89"/>
      <c r="N10" s="89"/>
      <c r="O10" s="90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G11" s="68">
        <f>(C11+E11)/2</f>
        <v>16.13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G12" s="68">
        <f>(C12+E12)/2</f>
        <v>11.68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39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196.94444444444443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41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8" t="s">
        <v>170</v>
      </c>
      <c r="C19" s="89"/>
      <c r="D19" s="89"/>
      <c r="E19" s="89"/>
      <c r="F19" s="90"/>
    </row>
    <row r="20" spans="2:15" x14ac:dyDescent="0.3">
      <c r="B20" s="36" t="s">
        <v>133</v>
      </c>
      <c r="C20" s="37">
        <f>C11*1000/(2*SQRT('Input data'!$C$21*1000*'Input data'!$C$3*'Input data'!$C$4))</f>
        <v>0.6252889179116754</v>
      </c>
      <c r="D20" s="37">
        <f>D11*1000/(2*SQRT('Input data'!$C$21*1000*'Input data'!$C$3*'Input data'!$C$4))</f>
        <v>0.3126444589558377</v>
      </c>
      <c r="E20" s="37">
        <f>E11*1000/(2*SQRT('Input data'!$C$21*1000*'Input data'!$C$3*'Input data'!$C$4))</f>
        <v>0.93793337686751288</v>
      </c>
      <c r="F20" s="38">
        <f>F11*1000/(2*SQRT('Input data'!$C$21*1000*'Input data'!$C$3*'Input data'!$C$4))</f>
        <v>0.46896668843375644</v>
      </c>
    </row>
    <row r="21" spans="2:15" x14ac:dyDescent="0.3">
      <c r="B21" s="18" t="s">
        <v>134</v>
      </c>
      <c r="C21" s="39">
        <f>C12*1000/(2*SQRT('Input data'!$C$22*1000*'Input data'!$C$3*(1-'Input data'!$C$4)))</f>
        <v>0.50668994238901566</v>
      </c>
      <c r="D21" s="39">
        <f>D12*1000/(2*SQRT('Input data'!$C$22*1000*'Input data'!$C$3*(1-'Input data'!$C$4)))</f>
        <v>0.25334497119450783</v>
      </c>
      <c r="E21" s="39">
        <f>E12*1000/(2*SQRT('Input data'!$C$22*1000*'Input data'!$C$3*(1-'Input data'!$C$4)))</f>
        <v>0.76003491358352349</v>
      </c>
      <c r="F21" s="40">
        <f>F12*1000/(2*SQRT('Input data'!$C$22*1000*'Input data'!$C$3*(1-'Input data'!$C$4)))</f>
        <v>0.38001745679176174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39">
        <f>C14*1000/'Roll mode'!$C$8/2</f>
        <v>0.40050748615750059</v>
      </c>
      <c r="D23" s="39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39">
        <f>C16*1000/(2*SQRT(((('Input data'!$C$30*57.325/'Input data'!$C$10^2*2)+(1000*0.5*('Input data'!$C$21-min_heave_stiff_f)))*'Input data'!$C$3*'Input data'!$C$4/2)))</f>
        <v>0.46370968815209002</v>
      </c>
      <c r="D25" s="39">
        <f>D16*1000/(2*SQRT(((('Input data'!$C$30*57.325/'Input data'!$C$10^2*2)+(1000*0.5*('Input data'!$C$21-min_heave_stiff_f)))*'Input data'!$C$3*'Input data'!$C$4/2)))</f>
        <v>0.23185484407604501</v>
      </c>
      <c r="E25" s="39">
        <f>E16*1000/(2*SQRT(((('Input data'!$C$30*57.325/'Input data'!$C$10^2*2)+(1000*0.5*('Input data'!$C$21-min_heave_stiff_f)))*'Input data'!$C$3*'Input data'!$C$4/2)))</f>
        <v>0.69556453222813497</v>
      </c>
      <c r="F25" s="40">
        <f>F16*1000/(2*SQRT(((('Input data'!$C$30*57.325/'Input data'!$C$10^2*2)+(1000*0.5*('Input data'!$C$21-min_heave_stiff_f)))*'Input data'!$C$3*'Input data'!$C$4/2)))</f>
        <v>0.34778226611406748</v>
      </c>
    </row>
    <row r="26" spans="2:15" ht="15" thickBot="1" x14ac:dyDescent="0.35">
      <c r="B26" s="24" t="s">
        <v>137</v>
      </c>
      <c r="C26" s="41">
        <f>C17*1000/(2*SQRT(((('Input data'!$C$31*57.325/'Input data'!$C$11^2*2)+(1000*0.5*('Input data'!$C$22-min_heave_stiff_r)))*'Input data'!$C$3*(1-'Input data'!$C$4)/2)))</f>
        <v>0.43603151413756075</v>
      </c>
      <c r="D26" s="41">
        <f>D17*1000/(2*SQRT(((('Input data'!$C$31*57.325/'Input data'!$C$11^2*2)+(1000*0.5*('Input data'!$C$22-min_heave_stiff_r)))*'Input data'!$C$3*(1-'Input data'!$C$4)/2)))</f>
        <v>0.21801575706878037</v>
      </c>
      <c r="E26" s="41">
        <f>E17*1000/(2*SQRT(((('Input data'!$C$31*57.325/'Input data'!$C$11^2*2)+(1000*0.5*('Input data'!$C$22-min_heave_stiff_r)))*'Input data'!$C$3*(1-'Input data'!$C$4)/2)))</f>
        <v>0.6540472712063411</v>
      </c>
      <c r="F26" s="42">
        <f>F17*1000/(2*SQRT(((('Input data'!$C$31*57.325/'Input data'!$C$11^2*2)+(1000*0.5*('Input data'!$C$22-min_heave_stiff_r)))*'Input data'!$C$3*(1-'Input data'!$C$4)/2)))</f>
        <v>0.32702363560317055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8" t="s">
        <v>171</v>
      </c>
      <c r="C28" s="89"/>
      <c r="D28" s="89"/>
      <c r="E28" s="89"/>
      <c r="F28" s="90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0.78161114738959414</v>
      </c>
      <c r="D30" s="39">
        <f>(D20+F20)/2</f>
        <v>0.39080557369479707</v>
      </c>
      <c r="E30" s="19"/>
      <c r="F30" s="20"/>
    </row>
    <row r="31" spans="2:15" x14ac:dyDescent="0.3">
      <c r="B31" s="18" t="s">
        <v>134</v>
      </c>
      <c r="C31" s="39">
        <f>(C21+E21)/2</f>
        <v>0.63336242798626952</v>
      </c>
      <c r="D31" s="39">
        <f>(D21+F21)/2</f>
        <v>0.31668121399313476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6" x14ac:dyDescent="0.3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6" x14ac:dyDescent="0.3">
      <c r="B34" s="18"/>
      <c r="C34" s="39"/>
      <c r="D34" s="39"/>
      <c r="E34" s="19"/>
      <c r="F34" s="20"/>
    </row>
    <row r="35" spans="2:6" x14ac:dyDescent="0.3">
      <c r="B35" s="18" t="s">
        <v>136</v>
      </c>
      <c r="C35" s="39">
        <f>(C25+E25)/2</f>
        <v>0.57963711019011255</v>
      </c>
      <c r="D35" s="39">
        <f t="shared" ref="D35:D36" si="10">(D25+F25)/2</f>
        <v>0.28981855509505627</v>
      </c>
      <c r="E35" s="19"/>
      <c r="F35" s="20"/>
    </row>
    <row r="36" spans="2:6" ht="15" thickBot="1" x14ac:dyDescent="0.35">
      <c r="B36" s="24" t="s">
        <v>137</v>
      </c>
      <c r="C36" s="41">
        <f>(C26+E26)/2</f>
        <v>0.5450393926719509</v>
      </c>
      <c r="D36" s="41">
        <f t="shared" si="10"/>
        <v>0.27251969633597545</v>
      </c>
      <c r="E36" s="25"/>
      <c r="F36" s="26"/>
    </row>
  </sheetData>
  <mergeCells count="7"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6E6F-270D-492F-A298-F69A65F6108F}">
  <sheetPr>
    <tabColor rgb="FF92D050"/>
  </sheetPr>
  <dimension ref="B1:W36"/>
  <sheetViews>
    <sheetView showGridLines="0" zoomScale="90" zoomScaleNormal="90" workbookViewId="0">
      <selection activeCell="C33" sqref="C33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8" t="s">
        <v>138</v>
      </c>
      <c r="C2" s="89"/>
      <c r="D2" s="89"/>
      <c r="E2" s="89"/>
      <c r="F2" s="90"/>
      <c r="H2" s="15" t="s">
        <v>126</v>
      </c>
      <c r="I2" s="51">
        <v>50</v>
      </c>
      <c r="K2" s="88" t="s">
        <v>140</v>
      </c>
      <c r="L2" s="89"/>
      <c r="M2" s="89"/>
      <c r="N2" s="89"/>
      <c r="O2" s="90"/>
      <c r="S2" s="91" t="s">
        <v>148</v>
      </c>
      <c r="T2" s="91"/>
      <c r="U2" s="91"/>
      <c r="V2" s="91"/>
      <c r="W2" s="91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-850.80000000000007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76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-567.20000000000005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76">
        <f>'Input data'!C36/1000*(2/($I$7+1))</f>
        <v>5.6720000000000006</v>
      </c>
      <c r="D5" s="47">
        <f>C5*$I$5</f>
        <v>2.8360000000000003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-283.60000000000002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283.60000000000002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850.80000000000007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8" t="s">
        <v>139</v>
      </c>
      <c r="C10" s="89"/>
      <c r="D10" s="89"/>
      <c r="E10" s="89"/>
      <c r="F10" s="90"/>
      <c r="K10" s="88" t="s">
        <v>149</v>
      </c>
      <c r="L10" s="89"/>
      <c r="M10" s="89"/>
      <c r="N10" s="89"/>
      <c r="O10" s="90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G11" s="68">
        <f>(C11+E11)/2</f>
        <v>16.13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G12" s="68">
        <f>(C12+E12)/2</f>
        <v>11.68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G14" s="68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68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196.94444444444446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77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8" t="s">
        <v>141</v>
      </c>
      <c r="C19" s="89"/>
      <c r="D19" s="89"/>
      <c r="E19" s="89"/>
      <c r="F19" s="90"/>
    </row>
    <row r="20" spans="2:15" x14ac:dyDescent="0.3">
      <c r="B20" s="36" t="s">
        <v>133</v>
      </c>
      <c r="C20" s="37">
        <f>C11*1000/(2*SQRT('Input data'!$C$23*1000*'Input data'!$C$3*'Input data'!$C$4))</f>
        <v>0.60661935413600199</v>
      </c>
      <c r="D20" s="37">
        <f>D11*1000/(2*SQRT('Input data'!$C$23*1000*'Input data'!$C$3*'Input data'!$C$4))</f>
        <v>0.30330967706800099</v>
      </c>
      <c r="E20" s="37">
        <f>E11*1000/(2*SQRT('Input data'!$C$23*1000*'Input data'!$C$3*'Input data'!$C$4))</f>
        <v>0.9099290312040027</v>
      </c>
      <c r="F20" s="38">
        <f>F11*1000/(2*SQRT('Input data'!$C$23*1000*'Input data'!$C$3*'Input data'!$C$4))</f>
        <v>0.45496451560200135</v>
      </c>
    </row>
    <row r="21" spans="2:15" x14ac:dyDescent="0.3">
      <c r="B21" s="18" t="s">
        <v>134</v>
      </c>
      <c r="C21" s="39">
        <f>C12*1000/(2*SQRT('Input data'!$C$24*1000*'Input data'!$C$3*(1-'Input data'!$C$4)))</f>
        <v>0.50668994238901566</v>
      </c>
      <c r="D21" s="39">
        <f>D12*1000/(2*SQRT('Input data'!$C$24*1000*'Input data'!$C$3*(1-'Input data'!$C$4)))</f>
        <v>0.25334497119450783</v>
      </c>
      <c r="E21" s="39">
        <f>E12*1000/(2*SQRT('Input data'!$C$24*1000*'Input data'!$C$3*(1-'Input data'!$C$4)))</f>
        <v>0.76003491358352349</v>
      </c>
      <c r="F21" s="40">
        <f>F12*1000/(2*SQRT('Input data'!$C$24*1000*'Input data'!$C$3*(1-'Input data'!$C$4)))</f>
        <v>0.38001745679176174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68">
        <f>C14*1000/'Roll mode'!$C$8/2</f>
        <v>0.40050748615750059</v>
      </c>
      <c r="D23" s="68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68">
        <f>C16*1000/(2*SQRT(((('Input data'!$C$30*57.325/'Input data'!$C$10^2*2)+(1000*0.5*('Input data'!$C$23-min_heave_stiff_f)))*'Input data'!$C$3*'Input data'!$C$4/2)))</f>
        <v>0.45593999534426988</v>
      </c>
      <c r="D25" s="68">
        <f>D16*1000/(2*SQRT(((('Input data'!$C$30*57.325/'Input data'!$C$10^2*2)+(1000*0.5*('Input data'!$C$23-min_heave_stiff_f)))*'Input data'!$C$3*'Input data'!$C$4/2)))</f>
        <v>0.22796999767213494</v>
      </c>
      <c r="E25" s="68">
        <f>E16*1000/(2*SQRT(((('Input data'!$C$30*57.325/'Input data'!$C$10^2*2)+(1000*0.5*('Input data'!$C$23-min_heave_stiff_f)))*'Input data'!$C$3*'Input data'!$C$4/2)))</f>
        <v>0.68390999301640465</v>
      </c>
      <c r="F25" s="79">
        <f>F16*1000/(2*SQRT(((('Input data'!$C$30*57.325/'Input data'!$C$10^2*2)+(1000*0.5*('Input data'!$C$23-min_heave_stiff_f)))*'Input data'!$C$3*'Input data'!$C$4/2)))</f>
        <v>0.34195499650820232</v>
      </c>
    </row>
    <row r="26" spans="2:15" ht="15" thickBot="1" x14ac:dyDescent="0.35">
      <c r="B26" s="24" t="s">
        <v>137</v>
      </c>
      <c r="C26" s="77">
        <f>C17*1000/(2*SQRT(((('Input data'!$C$31*57.325/'Input data'!$C$11^2*2)+(1000*0.5*('Input data'!$C$24-min_heave_stiff_r)))*'Input data'!$C$3*(1 - 'Input data'!$C$4)/2)))</f>
        <v>0.43603151413756075</v>
      </c>
      <c r="D26" s="77">
        <f>D17*1000/(2*SQRT(((('Input data'!$C$31*57.325/'Input data'!$C$11^2*2)+(1000*0.5*('Input data'!$C$24-min_heave_stiff_r)))*'Input data'!$C$3*(1 - 'Input data'!$C$4)/2)))</f>
        <v>0.21801575706878037</v>
      </c>
      <c r="E26" s="77">
        <f>E17*1000/(2*SQRT(((('Input data'!$C$31*57.325/'Input data'!$C$11^2*2)+(1000*0.5*('Input data'!$C$24-min_heave_stiff_r)))*'Input data'!$C$3*(1 - 'Input data'!$C$4)/2)))</f>
        <v>0.6540472712063411</v>
      </c>
      <c r="F26" s="80">
        <f>F17*1000/(2*SQRT(((('Input data'!$C$31*57.325/'Input data'!$C$11^2*2)+(1000*0.5*('Input data'!$C$24-min_heave_stiff_r)))*'Input data'!$C$3*(1 - 'Input data'!$C$4)/2)))</f>
        <v>0.32702363560317055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8" t="s">
        <v>159</v>
      </c>
      <c r="C28" s="89"/>
      <c r="D28" s="89"/>
      <c r="E28" s="89"/>
      <c r="F28" s="90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0.75827419267000229</v>
      </c>
      <c r="D30" s="39">
        <f>(D20+F20)/2</f>
        <v>0.37913709633500114</v>
      </c>
      <c r="E30" s="19"/>
      <c r="F30" s="20"/>
    </row>
    <row r="31" spans="2:15" x14ac:dyDescent="0.3">
      <c r="B31" s="18" t="s">
        <v>134</v>
      </c>
      <c r="C31" s="39">
        <f>(C21+E21)/2</f>
        <v>0.63336242798626952</v>
      </c>
      <c r="D31" s="39">
        <f>(D21+F21)/2</f>
        <v>0.31668121399313476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8" ht="15" thickBot="1" x14ac:dyDescent="0.35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8" x14ac:dyDescent="0.3">
      <c r="B34" s="18"/>
      <c r="C34" s="39"/>
      <c r="D34" s="39"/>
      <c r="E34" s="19"/>
      <c r="F34" s="81" t="s">
        <v>154</v>
      </c>
      <c r="G34" s="82"/>
      <c r="H34" s="83"/>
    </row>
    <row r="35" spans="2:8" x14ac:dyDescent="0.3">
      <c r="B35" s="18" t="s">
        <v>136</v>
      </c>
      <c r="C35" s="72">
        <f>(C25+E25)/2</f>
        <v>0.56992499418033726</v>
      </c>
      <c r="D35" s="72">
        <f t="shared" ref="D35:D36" si="10">(D25+F25)/2</f>
        <v>0.28496249709016863</v>
      </c>
      <c r="E35" s="19"/>
      <c r="F35" s="84">
        <f>C35/2</f>
        <v>0.28496249709016863</v>
      </c>
      <c r="G35" s="92" t="s">
        <v>182</v>
      </c>
      <c r="H35" s="93"/>
    </row>
    <row r="36" spans="2:8" ht="15" thickBot="1" x14ac:dyDescent="0.35">
      <c r="B36" s="24" t="s">
        <v>137</v>
      </c>
      <c r="C36" s="73">
        <f>(C26+E26)/2</f>
        <v>0.5450393926719509</v>
      </c>
      <c r="D36" s="73">
        <f t="shared" si="10"/>
        <v>0.27251969633597545</v>
      </c>
      <c r="E36" s="25"/>
      <c r="F36" s="85">
        <f>C36/2</f>
        <v>0.27251969633597545</v>
      </c>
      <c r="G36" s="94"/>
      <c r="H36" s="95"/>
    </row>
  </sheetData>
  <mergeCells count="8">
    <mergeCell ref="G35:H36"/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B781-1C6A-48B0-9ABB-1FEDABDDCC0C}">
  <sheetPr>
    <tabColor rgb="FF92D050"/>
  </sheetPr>
  <dimension ref="B1:W36"/>
  <sheetViews>
    <sheetView showGridLines="0" zoomScale="90" zoomScaleNormal="90" workbookViewId="0">
      <selection activeCell="C25" sqref="C25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8" t="s">
        <v>138</v>
      </c>
      <c r="C2" s="89"/>
      <c r="D2" s="89"/>
      <c r="E2" s="89"/>
      <c r="F2" s="90"/>
      <c r="H2" s="15" t="s">
        <v>126</v>
      </c>
      <c r="I2" s="51">
        <v>50</v>
      </c>
      <c r="K2" s="88" t="s">
        <v>140</v>
      </c>
      <c r="L2" s="89"/>
      <c r="M2" s="89"/>
      <c r="N2" s="89"/>
      <c r="O2" s="90"/>
      <c r="S2" s="91" t="s">
        <v>148</v>
      </c>
      <c r="T2" s="91"/>
      <c r="U2" s="91"/>
      <c r="V2" s="91"/>
      <c r="W2" s="91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47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-567.19999999999993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47">
        <f>'Input data'!C36/1000*2/($I$7+1)</f>
        <v>5.6719999999999997</v>
      </c>
      <c r="D5" s="47">
        <f>C5*$I$5</f>
        <v>2.8359999999999999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-283.59999999999997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283.59999999999997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8" t="s">
        <v>139</v>
      </c>
      <c r="C10" s="89"/>
      <c r="D10" s="89"/>
      <c r="E10" s="89"/>
      <c r="F10" s="90"/>
      <c r="K10" s="88" t="s">
        <v>149</v>
      </c>
      <c r="L10" s="89"/>
      <c r="M10" s="89"/>
      <c r="N10" s="89"/>
      <c r="O10" s="90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39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196.94444444444443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41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8" t="s">
        <v>141</v>
      </c>
      <c r="C19" s="89"/>
      <c r="D19" s="89"/>
      <c r="E19" s="89"/>
      <c r="F19" s="90"/>
    </row>
    <row r="20" spans="2:15" x14ac:dyDescent="0.3">
      <c r="B20" s="36" t="s">
        <v>133</v>
      </c>
      <c r="C20" s="37">
        <f>C11*1000/(2*SQRT('Input data'!$C$25*1000*'Input data'!$C$3*'Input data'!$C$4))</f>
        <v>0.50359973221757515</v>
      </c>
      <c r="D20" s="37">
        <f>D11*1000/(2*SQRT('Input data'!$C$25*1000*'Input data'!$C$3*'Input data'!$C$4))</f>
        <v>0.25179986610878757</v>
      </c>
      <c r="E20" s="37">
        <f>E11*1000/(2*SQRT('Input data'!$C$25*1000*'Input data'!$C$3*'Input data'!$C$4))</f>
        <v>0.7553995983263625</v>
      </c>
      <c r="F20" s="38">
        <f>F11*1000/(2*SQRT('Input data'!$C$25*1000*'Input data'!$C$3*'Input data'!$C$4))</f>
        <v>0.37769979916318125</v>
      </c>
    </row>
    <row r="21" spans="2:15" x14ac:dyDescent="0.3">
      <c r="B21" s="18" t="s">
        <v>134</v>
      </c>
      <c r="C21" s="39">
        <f>C12*1000/(2*SQRT('Input data'!$C$26*1000*'Input data'!$C$3*(1-'Input data'!$C$4)))</f>
        <v>0.35828389422229406</v>
      </c>
      <c r="D21" s="39">
        <f>D12*1000/(2*SQRT('Input data'!$C$26*1000*'Input data'!$C$3*(1-'Input data'!$C$4)))</f>
        <v>0.17914194711114703</v>
      </c>
      <c r="E21" s="39">
        <f>E12*1000/(2*SQRT('Input data'!$C$26*1000*'Input data'!$C$3*(1-'Input data'!$C$4)))</f>
        <v>0.53742584133344107</v>
      </c>
      <c r="F21" s="40">
        <f>F12*1000/(2*SQRT('Input data'!$C$26*1000*'Input data'!$C$3*(1-'Input data'!$C$4)))</f>
        <v>0.26871292066672053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39">
        <f>C14*1000/'Roll mode'!$C$8/2</f>
        <v>0.40050748615750059</v>
      </c>
      <c r="D23" s="39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39">
        <f>C16*1000/(2*SQRT(((('Input data'!$C$30*57.325/'Input data'!$C$10^2*2)+(1000*0.5*('Input data'!$C$25-min_heave_stiff_f)))*'Input data'!$C$3*'Input data'!$C$4/2)))</f>
        <v>0.40702999632797726</v>
      </c>
      <c r="D25" s="39">
        <f>D16*1000/(2*SQRT(((('Input data'!$C$30*57.325/'Input data'!$C$10^2*2)+(1000*0.5*('Input data'!$C$25-min_heave_stiff_f)))*'Input data'!$C$3*'Input data'!$C$4/2)))</f>
        <v>0.20351499816398863</v>
      </c>
      <c r="E25" s="39">
        <f>E16*1000/(2*SQRT(((('Input data'!$C$30*57.325/'Input data'!$C$10^2*2)+(1000*0.5*('Input data'!$C$25-min_heave_stiff_f)))*'Input data'!$C$3*'Input data'!$C$4/2)))</f>
        <v>0.61054499449196575</v>
      </c>
      <c r="F25" s="40">
        <f>F16*1000/(2*SQRT(((('Input data'!$C$30*57.325/'Input data'!$C$10^2*2)+(1000*0.5*('Input data'!$C$25-min_heave_stiff_f)))*'Input data'!$C$3*'Input data'!$C$4/2)))</f>
        <v>0.30527249724598288</v>
      </c>
    </row>
    <row r="26" spans="2:15" ht="15" thickBot="1" x14ac:dyDescent="0.35">
      <c r="B26" s="24" t="s">
        <v>137</v>
      </c>
      <c r="C26" s="41">
        <f>C17*1000/(2*SQRT(((('Input data'!$C$31*57.325/'Input data'!$C$11^2*2)+(1000*0.5*('Input data'!$C$26-min_heave_stiff_r)))*'Input data'!$C$3*(1-'Input data'!$C$4)/2)))</f>
        <v>0.33050292474438259</v>
      </c>
      <c r="D26" s="41">
        <f>D17*1000/(2*SQRT(((('Input data'!$C$31*57.325/'Input data'!$C$11^2*2)+(1000*0.5*('Input data'!$C$26-min_heave_stiff_r)))*'Input data'!$C$3*(1-'Input data'!$C$4)/2)))</f>
        <v>0.16525146237219129</v>
      </c>
      <c r="E26" s="41">
        <f>E17*1000/(2*SQRT(((('Input data'!$C$31*57.325/'Input data'!$C$11^2*2)+(1000*0.5*('Input data'!$C$26-min_heave_stiff_r)))*'Input data'!$C$3*(1-'Input data'!$C$4)/2)))</f>
        <v>0.49575438711657388</v>
      </c>
      <c r="F26" s="42">
        <f>F17*1000/(2*SQRT(((('Input data'!$C$31*57.325/'Input data'!$C$11^2*2)+(1000*0.5*('Input data'!$C$26-min_heave_stiff_r)))*'Input data'!$C$3*(1-'Input data'!$C$4)/2)))</f>
        <v>0.24787719355828694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8" t="s">
        <v>159</v>
      </c>
      <c r="C28" s="89"/>
      <c r="D28" s="89"/>
      <c r="E28" s="89"/>
      <c r="F28" s="90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0.62949966527196888</v>
      </c>
      <c r="D30" s="39">
        <f>(D20+F20)/2</f>
        <v>0.31474983263598444</v>
      </c>
      <c r="E30" s="19"/>
      <c r="F30" s="20"/>
    </row>
    <row r="31" spans="2:15" x14ac:dyDescent="0.3">
      <c r="B31" s="18" t="s">
        <v>134</v>
      </c>
      <c r="C31" s="39">
        <f>(C21+E21)/2</f>
        <v>0.44785486777786754</v>
      </c>
      <c r="D31" s="39">
        <f>(D21+F21)/2</f>
        <v>0.22392743388893377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6" x14ac:dyDescent="0.3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6" x14ac:dyDescent="0.3">
      <c r="B34" s="18"/>
      <c r="C34" s="39"/>
      <c r="D34" s="39"/>
      <c r="E34" s="19"/>
      <c r="F34" s="20"/>
    </row>
    <row r="35" spans="2:6" x14ac:dyDescent="0.3">
      <c r="B35" s="18" t="s">
        <v>136</v>
      </c>
      <c r="C35" s="39">
        <f>(C25+E25)/2</f>
        <v>0.50878749540997148</v>
      </c>
      <c r="D35" s="39">
        <f t="shared" ref="D35:D36" si="10">(D25+F25)/2</f>
        <v>0.25439374770498574</v>
      </c>
      <c r="E35" s="19"/>
      <c r="F35" s="20"/>
    </row>
    <row r="36" spans="2:6" ht="15" thickBot="1" x14ac:dyDescent="0.35">
      <c r="B36" s="24" t="s">
        <v>137</v>
      </c>
      <c r="C36" s="41">
        <f>(C26+E26)/2</f>
        <v>0.41312865593047821</v>
      </c>
      <c r="D36" s="41">
        <f t="shared" si="10"/>
        <v>0.2065643279652391</v>
      </c>
      <c r="E36" s="25"/>
      <c r="F36" s="26"/>
    </row>
  </sheetData>
  <mergeCells count="7"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BCCD-69C3-4C03-B494-CABF5C38E189}">
  <sheetPr>
    <tabColor rgb="FF92D050"/>
  </sheetPr>
  <dimension ref="B1:W36"/>
  <sheetViews>
    <sheetView showGridLines="0" zoomScale="90" zoomScaleNormal="90" workbookViewId="0">
      <selection activeCell="C27" sqref="C27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8" t="s">
        <v>138</v>
      </c>
      <c r="C2" s="89"/>
      <c r="D2" s="89"/>
      <c r="E2" s="89"/>
      <c r="F2" s="90"/>
      <c r="H2" s="15" t="s">
        <v>126</v>
      </c>
      <c r="I2" s="51">
        <v>50</v>
      </c>
      <c r="K2" s="88" t="s">
        <v>140</v>
      </c>
      <c r="L2" s="89"/>
      <c r="M2" s="89"/>
      <c r="N2" s="89"/>
      <c r="O2" s="90"/>
      <c r="S2" s="91" t="s">
        <v>148</v>
      </c>
      <c r="T2" s="91"/>
      <c r="U2" s="91"/>
      <c r="V2" s="91"/>
      <c r="W2" s="91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47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-567.19999999999993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47">
        <f>'Input data'!C36/1000*2/($I$7+1)</f>
        <v>5.6719999999999997</v>
      </c>
      <c r="D5" s="47">
        <f>C5*$I$5</f>
        <v>2.8359999999999999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-283.59999999999997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283.59999999999997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8" t="s">
        <v>139</v>
      </c>
      <c r="C10" s="89"/>
      <c r="D10" s="89"/>
      <c r="E10" s="89"/>
      <c r="F10" s="90"/>
      <c r="K10" s="88" t="s">
        <v>149</v>
      </c>
      <c r="L10" s="89"/>
      <c r="M10" s="89"/>
      <c r="N10" s="89"/>
      <c r="O10" s="90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39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196.94444444444443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41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8" t="s">
        <v>141</v>
      </c>
      <c r="C19" s="89"/>
      <c r="D19" s="89"/>
      <c r="E19" s="89"/>
      <c r="F19" s="90"/>
    </row>
    <row r="20" spans="2:15" x14ac:dyDescent="0.3">
      <c r="B20" s="36" t="s">
        <v>133</v>
      </c>
      <c r="C20" s="37">
        <f>C11*1000/(2*SQRT('Input data'!$C$27*1000*'Input data'!$C$3*'Input data'!$C$4))</f>
        <v>0.3211187439253157</v>
      </c>
      <c r="D20" s="37">
        <f>D11*1000/(2*SQRT('Input data'!$C$27*1000*'Input data'!$C$3*'Input data'!$C$4))</f>
        <v>0.16055937196265785</v>
      </c>
      <c r="E20" s="37">
        <f>E11*1000/(2*SQRT('Input data'!$C$27*1000*'Input data'!$C$3*'Input data'!$C$4))</f>
        <v>0.48167811588797343</v>
      </c>
      <c r="F20" s="38">
        <f>F11*1000/(2*SQRT('Input data'!$C$27*1000*'Input data'!$C$3*'Input data'!$C$4))</f>
        <v>0.24083905794398672</v>
      </c>
    </row>
    <row r="21" spans="2:15" x14ac:dyDescent="0.3">
      <c r="B21" s="18" t="s">
        <v>134</v>
      </c>
      <c r="C21" s="39">
        <f>C12*1000/(2*SQRT('Input data'!$C$28*1000*'Input data'!$C$3*(1-'Input data'!$C$4)))</f>
        <v>0.23248528995601739</v>
      </c>
      <c r="D21" s="39">
        <f>D12*1000/(2*SQRT('Input data'!$C$28*1000*'Input data'!$C$3*(1-'Input data'!$C$4)))</f>
        <v>0.11624264497800869</v>
      </c>
      <c r="E21" s="39">
        <f>E12*1000/(2*SQRT('Input data'!$C$28*1000*'Input data'!$C$3*(1-'Input data'!$C$4)))</f>
        <v>0.3487279349340261</v>
      </c>
      <c r="F21" s="40">
        <f>F12*1000/(2*SQRT('Input data'!$C$28*1000*'Input data'!$C$3*(1-'Input data'!$C$4)))</f>
        <v>0.17436396746701305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39">
        <f>C14*1000/'Roll mode'!$C$8/2</f>
        <v>0.40050748615750059</v>
      </c>
      <c r="D23" s="39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39">
        <f>C16*1000/(2*SQRT(((('Input data'!$C$30*57.325/'Input data'!$C$10^2*2)+(1000*0.5*('Input data'!$C$27-min_heave_stiff_f)))*'Input data'!$C$3*'Input data'!$C$4/2)))</f>
        <v>0.29122666172198858</v>
      </c>
      <c r="D25" s="39">
        <f>D16*1000/(2*SQRT(((('Input data'!$C$30*57.325/'Input data'!$C$10^2*2)+(1000*0.5*('Input data'!$C$27-min_heave_stiff_f)))*'Input data'!$C$3*'Input data'!$C$4/2)))</f>
        <v>0.14561333086099429</v>
      </c>
      <c r="E25" s="39">
        <f>E16*1000/(2*SQRT(((('Input data'!$C$30*57.325/'Input data'!$C$10^2*2)+(1000*0.5*('Input data'!$C$27-min_heave_stiff_f)))*'Input data'!$C$3*'Input data'!$C$4/2)))</f>
        <v>0.43683999258298284</v>
      </c>
      <c r="F25" s="40">
        <f>F16*1000/(2*SQRT(((('Input data'!$C$30*57.325/'Input data'!$C$10^2*2)+(1000*0.5*('Input data'!$C$27-min_heave_stiff_f)))*'Input data'!$C$3*'Input data'!$C$4/2)))</f>
        <v>0.21841999629149142</v>
      </c>
    </row>
    <row r="26" spans="2:15" ht="15" thickBot="1" x14ac:dyDescent="0.35">
      <c r="B26" s="24" t="s">
        <v>137</v>
      </c>
      <c r="C26" s="41">
        <f>C17*1000/(2*SQRT(((('Input data'!$C$31*57.325/'Input data'!$C$11^2*2)+(1000*0.5*('Input data'!$C$28-min_heave_stiff_r)))*'Input data'!$C$3*(1-'Input data'!$C$4)/2)))</f>
        <v>0.22435821093835587</v>
      </c>
      <c r="D26" s="41">
        <f>D17*1000/(2*SQRT(((('Input data'!$C$31*57.325/'Input data'!$C$11^2*2)+(1000*0.5*('Input data'!$C$28-min_heave_stiff_r)))*'Input data'!$C$3*(1-'Input data'!$C$4)/2)))</f>
        <v>0.11217910546917793</v>
      </c>
      <c r="E26" s="41">
        <f>E17*1000/(2*SQRT(((('Input data'!$C$31*57.325/'Input data'!$C$11^2*2)+(1000*0.5*('Input data'!$C$28-min_heave_stiff_r)))*'Input data'!$C$3*(1-'Input data'!$C$4)/2)))</f>
        <v>0.33653731640753382</v>
      </c>
      <c r="F26" s="42">
        <f>F17*1000/(2*SQRT(((('Input data'!$C$31*57.325/'Input data'!$C$11^2*2)+(1000*0.5*('Input data'!$C$28-min_heave_stiff_r)))*'Input data'!$C$3*(1-'Input data'!$C$4)/2)))</f>
        <v>0.16826865820376691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8" t="s">
        <v>159</v>
      </c>
      <c r="C28" s="89"/>
      <c r="D28" s="89"/>
      <c r="E28" s="89"/>
      <c r="F28" s="90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0.40139842990664454</v>
      </c>
      <c r="D30" s="39">
        <f>(D20+F20)/2</f>
        <v>0.20069921495332227</v>
      </c>
      <c r="E30" s="19"/>
      <c r="F30" s="20"/>
    </row>
    <row r="31" spans="2:15" x14ac:dyDescent="0.3">
      <c r="B31" s="18" t="s">
        <v>134</v>
      </c>
      <c r="C31" s="39">
        <f>(C21+E21)/2</f>
        <v>0.29060661244502173</v>
      </c>
      <c r="D31" s="39">
        <f>(D21+F21)/2</f>
        <v>0.14530330622251086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6" x14ac:dyDescent="0.3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6" x14ac:dyDescent="0.3">
      <c r="B34" s="18"/>
      <c r="C34" s="39"/>
      <c r="D34" s="39"/>
      <c r="E34" s="19"/>
      <c r="F34" s="20"/>
    </row>
    <row r="35" spans="2:6" x14ac:dyDescent="0.3">
      <c r="B35" s="18" t="s">
        <v>136</v>
      </c>
      <c r="C35" s="39">
        <f>(C25+E25)/2</f>
        <v>0.36403332715248571</v>
      </c>
      <c r="D35" s="39">
        <f t="shared" ref="D35:D36" si="10">(D25+F25)/2</f>
        <v>0.18201666357624285</v>
      </c>
      <c r="E35" s="19"/>
      <c r="F35" s="20"/>
    </row>
    <row r="36" spans="2:6" ht="15" thickBot="1" x14ac:dyDescent="0.35">
      <c r="B36" s="24" t="s">
        <v>137</v>
      </c>
      <c r="C36" s="41">
        <f>(C26+E26)/2</f>
        <v>0.28044776367294483</v>
      </c>
      <c r="D36" s="41">
        <f t="shared" si="10"/>
        <v>0.14022388183647241</v>
      </c>
      <c r="E36" s="25"/>
      <c r="F36" s="26"/>
    </row>
  </sheetData>
  <mergeCells count="7"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6328-4628-4986-B5B1-3C4E01BB5B40}">
  <sheetPr>
    <tabColor theme="9" tint="0.79998168889431442"/>
  </sheetPr>
  <dimension ref="B1:F37"/>
  <sheetViews>
    <sheetView zoomScale="90" zoomScaleNormal="90" workbookViewId="0">
      <selection activeCell="C33" sqref="C33"/>
    </sheetView>
  </sheetViews>
  <sheetFormatPr defaultRowHeight="14.4" x14ac:dyDescent="0.3"/>
  <cols>
    <col min="1" max="1" width="3.6640625" customWidth="1"/>
    <col min="2" max="2" width="35.6640625" customWidth="1"/>
  </cols>
  <sheetData>
    <row r="1" spans="2:6" ht="15" thickBot="1" x14ac:dyDescent="0.35"/>
    <row r="2" spans="2:6" ht="15" thickBot="1" x14ac:dyDescent="0.35">
      <c r="B2" s="2" t="s">
        <v>34</v>
      </c>
      <c r="C2" s="3" t="s">
        <v>0</v>
      </c>
      <c r="D2" s="4" t="s">
        <v>1</v>
      </c>
    </row>
    <row r="3" spans="2:6" x14ac:dyDescent="0.3">
      <c r="B3" t="s">
        <v>35</v>
      </c>
      <c r="C3" s="7">
        <f>1/6.28*SQRT('Input data'!C19*1000/'Input data'!$H$3)</f>
        <v>3.7037185008253526</v>
      </c>
      <c r="D3" t="s">
        <v>33</v>
      </c>
      <c r="F3">
        <v>0</v>
      </c>
    </row>
    <row r="4" spans="2:6" x14ac:dyDescent="0.3">
      <c r="B4" t="s">
        <v>37</v>
      </c>
      <c r="C4" s="7">
        <f>1/6.28*SQRT('Input data'!C21*1000/'Input data'!$H$3)</f>
        <v>3.7037185008253526</v>
      </c>
      <c r="D4" t="s">
        <v>33</v>
      </c>
      <c r="F4">
        <v>80</v>
      </c>
    </row>
    <row r="5" spans="2:6" x14ac:dyDescent="0.3">
      <c r="B5" t="s">
        <v>39</v>
      </c>
      <c r="C5" s="7">
        <f>1/6.28*SQRT('Input data'!C23*1000/'Input data'!$H$3)</f>
        <v>3.8177056466143049</v>
      </c>
      <c r="D5" t="s">
        <v>33</v>
      </c>
      <c r="F5">
        <v>160</v>
      </c>
    </row>
    <row r="6" spans="2:6" x14ac:dyDescent="0.3">
      <c r="B6" t="s">
        <v>41</v>
      </c>
      <c r="C6" s="7">
        <f>1/6.28*SQRT('Input data'!C25*1000/'Input data'!$H$3)</f>
        <v>4.5986802324787153</v>
      </c>
      <c r="D6" t="s">
        <v>33</v>
      </c>
      <c r="F6">
        <v>240</v>
      </c>
    </row>
    <row r="7" spans="2:6" x14ac:dyDescent="0.3">
      <c r="B7" t="s">
        <v>43</v>
      </c>
      <c r="C7" s="7">
        <f>1/6.28*SQRT('Input data'!C27*1000/'Input data'!$H$3)</f>
        <v>7.2119556314942406</v>
      </c>
      <c r="D7" t="s">
        <v>33</v>
      </c>
      <c r="F7">
        <v>320</v>
      </c>
    </row>
    <row r="9" spans="2:6" x14ac:dyDescent="0.3">
      <c r="B9" t="s">
        <v>36</v>
      </c>
      <c r="C9" s="7">
        <f>1/6.28*SQRT('Input data'!C20*1000/'Input data'!$H$3)</f>
        <v>3.0240734926426636</v>
      </c>
      <c r="D9" t="s">
        <v>33</v>
      </c>
    </row>
    <row r="10" spans="2:6" x14ac:dyDescent="0.3">
      <c r="B10" t="s">
        <v>38</v>
      </c>
      <c r="C10" s="7">
        <f>1/6.28*SQRT('Input data'!C22*1000/'Input data'!$H$3)</f>
        <v>3.0240734926426636</v>
      </c>
      <c r="D10" t="s">
        <v>33</v>
      </c>
    </row>
    <row r="11" spans="2:6" x14ac:dyDescent="0.3">
      <c r="B11" t="s">
        <v>40</v>
      </c>
      <c r="C11" s="7">
        <f>1/6.28*SQRT('Input data'!C24*1000/'Input data'!$H$3)</f>
        <v>3.0240734926426636</v>
      </c>
      <c r="D11" t="s">
        <v>33</v>
      </c>
    </row>
    <row r="12" spans="2:6" x14ac:dyDescent="0.3">
      <c r="B12" t="s">
        <v>42</v>
      </c>
      <c r="C12" s="7">
        <f>1/6.28*SQRT('Input data'!C26*1000/'Input data'!$H$3)</f>
        <v>4.2766857469082291</v>
      </c>
      <c r="D12" t="s">
        <v>33</v>
      </c>
    </row>
    <row r="13" spans="2:6" x14ac:dyDescent="0.3">
      <c r="B13" t="s">
        <v>44</v>
      </c>
      <c r="C13" s="7">
        <f>1/6.28*SQRT('Input data'!C28*1000/'Input data'!$H$3)</f>
        <v>6.5908153761347297</v>
      </c>
      <c r="D13" t="s">
        <v>33</v>
      </c>
    </row>
    <row r="14" spans="2:6" x14ac:dyDescent="0.3">
      <c r="C14" s="7"/>
    </row>
    <row r="15" spans="2:6" x14ac:dyDescent="0.3">
      <c r="B15" t="s">
        <v>45</v>
      </c>
      <c r="C15" s="74">
        <f>2*SQRT('Input data'!C19*1000*'Input data'!$H$3)</f>
        <v>20636.860226303808</v>
      </c>
      <c r="D15" t="s">
        <v>46</v>
      </c>
    </row>
    <row r="16" spans="2:6" x14ac:dyDescent="0.3">
      <c r="B16" t="s">
        <v>102</v>
      </c>
      <c r="C16" s="6">
        <f>2*SQRT('Input data'!C21*1000*'Input data'!$H$3)</f>
        <v>20636.860226303808</v>
      </c>
      <c r="D16" t="s">
        <v>46</v>
      </c>
    </row>
    <row r="17" spans="2:4" x14ac:dyDescent="0.3">
      <c r="B17" t="s">
        <v>103</v>
      </c>
      <c r="C17" s="6">
        <f>2*SQRT('Input data'!C23*1000*'Input data'!$H$3)</f>
        <v>21271.988623539644</v>
      </c>
      <c r="D17" t="s">
        <v>46</v>
      </c>
    </row>
    <row r="18" spans="2:4" x14ac:dyDescent="0.3">
      <c r="B18" t="s">
        <v>104</v>
      </c>
      <c r="C18" s="6">
        <f>2*SQRT('Input data'!C25*1000*'Input data'!$H$3)</f>
        <v>25623.52434775513</v>
      </c>
      <c r="D18" t="s">
        <v>46</v>
      </c>
    </row>
    <row r="19" spans="2:4" x14ac:dyDescent="0.3">
      <c r="B19" t="s">
        <v>105</v>
      </c>
      <c r="C19" s="6">
        <f>2*SQRT('Input data'!C27*1000*'Input data'!$H$3)</f>
        <v>40184.511941791701</v>
      </c>
      <c r="D19" t="s">
        <v>46</v>
      </c>
    </row>
    <row r="21" spans="2:4" x14ac:dyDescent="0.3">
      <c r="B21" t="s">
        <v>47</v>
      </c>
      <c r="C21" s="74">
        <f>2*SQRT('Input data'!C20*1000*'Input data'!$H$4)</f>
        <v>18441.258091572818</v>
      </c>
      <c r="D21" t="s">
        <v>46</v>
      </c>
    </row>
    <row r="22" spans="2:4" x14ac:dyDescent="0.3">
      <c r="B22" t="s">
        <v>172</v>
      </c>
      <c r="C22" s="6">
        <f>2*SQRT('Input data'!C22*1000*'Input data'!$H$4)</f>
        <v>18441.258091572818</v>
      </c>
      <c r="D22" t="s">
        <v>46</v>
      </c>
    </row>
    <row r="23" spans="2:4" x14ac:dyDescent="0.3">
      <c r="B23" t="s">
        <v>173</v>
      </c>
      <c r="C23" s="6">
        <f>2*SQRT('Input data'!C24*1000*'Input data'!$H$4)</f>
        <v>18441.258091572818</v>
      </c>
      <c r="D23" t="s">
        <v>46</v>
      </c>
    </row>
    <row r="24" spans="2:4" x14ac:dyDescent="0.3">
      <c r="B24" t="s">
        <v>174</v>
      </c>
      <c r="C24" s="6">
        <f>2*SQRT('Input data'!C26*1000*'Input data'!$H$4)</f>
        <v>26079.877300324861</v>
      </c>
      <c r="D24" t="s">
        <v>46</v>
      </c>
    </row>
    <row r="25" spans="2:4" x14ac:dyDescent="0.3">
      <c r="B25" t="s">
        <v>175</v>
      </c>
      <c r="C25" s="6">
        <f>2*SQRT('Input data'!C28*1000*'Input data'!$H$4)</f>
        <v>40191.790206458827</v>
      </c>
      <c r="D25" t="s">
        <v>46</v>
      </c>
    </row>
    <row r="27" spans="2:4" x14ac:dyDescent="0.3">
      <c r="B27" t="s">
        <v>83</v>
      </c>
      <c r="C27" s="7">
        <f>(2*'Input data'!$C$34+'Input data'!$C$36)/'Heave mode'!C15</f>
        <v>0.78161114738959414</v>
      </c>
      <c r="D27" t="s">
        <v>5</v>
      </c>
    </row>
    <row r="28" spans="2:4" x14ac:dyDescent="0.3">
      <c r="B28" t="s">
        <v>85</v>
      </c>
      <c r="C28" s="7">
        <f>(2*'Input data'!$C$34+'Input data'!$C$36)/'Heave mode'!C16</f>
        <v>0.78161114738959414</v>
      </c>
      <c r="D28" t="s">
        <v>5</v>
      </c>
    </row>
    <row r="29" spans="2:4" x14ac:dyDescent="0.3">
      <c r="B29" t="s">
        <v>86</v>
      </c>
      <c r="C29" s="7">
        <f>(2*'Input data'!$C$34+'Input data'!$C$36)/'Heave mode'!C17</f>
        <v>0.7582741926700024</v>
      </c>
      <c r="D29" t="s">
        <v>5</v>
      </c>
    </row>
    <row r="30" spans="2:4" x14ac:dyDescent="0.3">
      <c r="B30" t="s">
        <v>87</v>
      </c>
      <c r="C30" s="7">
        <f>(2*'Input data'!$C$34+'Input data'!$C$36)/'Heave mode'!C18</f>
        <v>0.62949966527196888</v>
      </c>
      <c r="D30" t="s">
        <v>5</v>
      </c>
    </row>
    <row r="31" spans="2:4" x14ac:dyDescent="0.3">
      <c r="B31" t="s">
        <v>88</v>
      </c>
      <c r="C31" s="7">
        <f>(2*'Input data'!$C$34+'Input data'!$C$36)/'Heave mode'!C19</f>
        <v>0.40139842990664465</v>
      </c>
      <c r="D31" t="s">
        <v>5</v>
      </c>
    </row>
    <row r="33" spans="2:4" x14ac:dyDescent="0.3">
      <c r="B33" t="s">
        <v>84</v>
      </c>
      <c r="C33" s="7">
        <f>(2*'Input data'!$C$35+'Input data'!$C$37)/'Heave mode'!C21</f>
        <v>0.63336242798626963</v>
      </c>
      <c r="D33" t="s">
        <v>5</v>
      </c>
    </row>
    <row r="34" spans="2:4" x14ac:dyDescent="0.3">
      <c r="B34" t="s">
        <v>89</v>
      </c>
      <c r="C34" s="7">
        <f>(2*'Input data'!$C$35+'Input data'!$C$37)/'Heave mode'!C22</f>
        <v>0.63336242798626963</v>
      </c>
      <c r="D34" t="s">
        <v>5</v>
      </c>
    </row>
    <row r="35" spans="2:4" x14ac:dyDescent="0.3">
      <c r="B35" t="s">
        <v>90</v>
      </c>
      <c r="C35" s="7">
        <f>(2*'Input data'!$C$35+'Input data'!$C$37)/'Heave mode'!C23</f>
        <v>0.63336242798626963</v>
      </c>
      <c r="D35" t="s">
        <v>5</v>
      </c>
    </row>
    <row r="36" spans="2:4" x14ac:dyDescent="0.3">
      <c r="B36" t="s">
        <v>91</v>
      </c>
      <c r="C36" s="7">
        <f>(2*'Input data'!$C$35+'Input data'!$C$37)/'Heave mode'!C24</f>
        <v>0.44785486777786754</v>
      </c>
      <c r="D36" t="s">
        <v>5</v>
      </c>
    </row>
    <row r="37" spans="2:4" x14ac:dyDescent="0.3">
      <c r="B37" t="s">
        <v>92</v>
      </c>
      <c r="C37" s="7">
        <f>(2*'Input data'!$C$35+'Input data'!$C$37)/'Heave mode'!C25</f>
        <v>0.29060661244502173</v>
      </c>
      <c r="D37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6D64-D3A0-47B1-8FBB-CC9EBEF2E47C}">
  <sheetPr>
    <tabColor theme="9" tint="0.79998168889431442"/>
  </sheetPr>
  <dimension ref="B1:F22"/>
  <sheetViews>
    <sheetView zoomScale="90" zoomScaleNormal="90" workbookViewId="0">
      <selection activeCell="C13" sqref="C13"/>
    </sheetView>
  </sheetViews>
  <sheetFormatPr defaultRowHeight="14.4" x14ac:dyDescent="0.3"/>
  <cols>
    <col min="1" max="1" width="3.6640625" customWidth="1"/>
    <col min="2" max="2" width="50.6640625" customWidth="1"/>
    <col min="3" max="3" width="11.5546875" bestFit="1" customWidth="1"/>
    <col min="4" max="4" width="11.44140625" bestFit="1" customWidth="1"/>
  </cols>
  <sheetData>
    <row r="1" spans="2:6" ht="15" thickBot="1" x14ac:dyDescent="0.35"/>
    <row r="2" spans="2:6" ht="15" thickBot="1" x14ac:dyDescent="0.35">
      <c r="B2" s="2" t="s">
        <v>52</v>
      </c>
      <c r="C2" s="3" t="s">
        <v>0</v>
      </c>
      <c r="D2" s="4" t="s">
        <v>1</v>
      </c>
    </row>
    <row r="3" spans="2:6" x14ac:dyDescent="0.3">
      <c r="B3" t="s">
        <v>53</v>
      </c>
      <c r="C3" s="7">
        <f>1/6.28*SQRT(180/3.14*'Input data'!$H$9/'Input data'!$H$15)</f>
        <v>6.297685415551693</v>
      </c>
      <c r="D3" t="s">
        <v>33</v>
      </c>
    </row>
    <row r="4" spans="2:6" x14ac:dyDescent="0.3">
      <c r="C4" s="7"/>
    </row>
    <row r="5" spans="2:6" x14ac:dyDescent="0.3">
      <c r="B5" t="s">
        <v>54</v>
      </c>
      <c r="C5" s="6">
        <f>2*SQRT('Input data'!H9*57.325*'Input data'!H15)</f>
        <v>22489.646267661446</v>
      </c>
      <c r="D5" t="s">
        <v>142</v>
      </c>
      <c r="F5" t="s">
        <v>144</v>
      </c>
    </row>
    <row r="6" spans="2:6" x14ac:dyDescent="0.3">
      <c r="C6" s="6">
        <f>C5/57.325</f>
        <v>392.31829511838544</v>
      </c>
      <c r="D6" t="s">
        <v>55</v>
      </c>
    </row>
    <row r="8" spans="2:6" x14ac:dyDescent="0.3">
      <c r="B8" t="s">
        <v>145</v>
      </c>
      <c r="C8" s="74">
        <f>C5/('Input data'!H17^2 / 2)</f>
        <v>16603.934332914992</v>
      </c>
      <c r="D8" t="s">
        <v>46</v>
      </c>
    </row>
    <row r="10" spans="2:6" x14ac:dyDescent="0.3">
      <c r="C10" s="6"/>
      <c r="F10" t="s">
        <v>93</v>
      </c>
    </row>
    <row r="12" spans="2:6" x14ac:dyDescent="0.3">
      <c r="B12" t="s">
        <v>99</v>
      </c>
      <c r="C12" s="8">
        <f>C8*'Input data'!C4</f>
        <v>7554.7901214763215</v>
      </c>
      <c r="D12" t="s">
        <v>46</v>
      </c>
    </row>
    <row r="13" spans="2:6" x14ac:dyDescent="0.3">
      <c r="B13" t="s">
        <v>56</v>
      </c>
      <c r="C13" s="8">
        <f>C8*(1-'Input data'!C4)</f>
        <v>9049.14421143867</v>
      </c>
      <c r="D13" t="s">
        <v>46</v>
      </c>
    </row>
    <row r="15" spans="2:6" x14ac:dyDescent="0.3">
      <c r="B15" t="s">
        <v>100</v>
      </c>
      <c r="C15" s="8">
        <f>C8*'Input data'!H12</f>
        <v>11291.873877347191</v>
      </c>
      <c r="D15" t="s">
        <v>46</v>
      </c>
    </row>
    <row r="16" spans="2:6" x14ac:dyDescent="0.3">
      <c r="B16" t="s">
        <v>56</v>
      </c>
      <c r="C16" s="8">
        <f>C8*(1-'Input data'!H12)</f>
        <v>5312.0604555678019</v>
      </c>
      <c r="D16" t="s">
        <v>46</v>
      </c>
    </row>
    <row r="18" spans="2:4" x14ac:dyDescent="0.3">
      <c r="C18" s="7"/>
    </row>
    <row r="20" spans="2:4" x14ac:dyDescent="0.3">
      <c r="C20" s="6"/>
    </row>
    <row r="21" spans="2:4" x14ac:dyDescent="0.3">
      <c r="C21" s="6"/>
    </row>
    <row r="22" spans="2:4" x14ac:dyDescent="0.3">
      <c r="B22" t="s">
        <v>94</v>
      </c>
      <c r="C22" s="7">
        <f>('Input data'!C$34+'Input data'!C$35)/'Roll mode'!C8</f>
        <v>0.40050748615750059</v>
      </c>
      <c r="D22" t="s">
        <v>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53A1-25DA-4EFD-9C77-8A18F7328130}">
  <sheetPr>
    <tabColor theme="9" tint="0.79998168889431442"/>
  </sheetPr>
  <dimension ref="B1:H49"/>
  <sheetViews>
    <sheetView zoomScale="90" zoomScaleNormal="90" workbookViewId="0">
      <selection activeCell="C21" sqref="C21"/>
    </sheetView>
  </sheetViews>
  <sheetFormatPr defaultRowHeight="14.4" x14ac:dyDescent="0.3"/>
  <cols>
    <col min="1" max="1" width="3.6640625" customWidth="1"/>
    <col min="2" max="2" width="35.6640625" customWidth="1"/>
    <col min="4" max="4" width="11.44140625" bestFit="1" customWidth="1"/>
    <col min="6" max="6" width="35.6640625" customWidth="1"/>
  </cols>
  <sheetData>
    <row r="1" spans="2:8" ht="15" thickBot="1" x14ac:dyDescent="0.35"/>
    <row r="2" spans="2:8" ht="15" thickBot="1" x14ac:dyDescent="0.35">
      <c r="B2" s="2" t="s">
        <v>48</v>
      </c>
      <c r="C2" s="3" t="s">
        <v>0</v>
      </c>
      <c r="D2" s="4" t="s">
        <v>1</v>
      </c>
      <c r="F2" s="9" t="s">
        <v>76</v>
      </c>
      <c r="G2" s="10" t="s">
        <v>0</v>
      </c>
      <c r="H2" s="11" t="s">
        <v>1</v>
      </c>
    </row>
    <row r="3" spans="2:8" x14ac:dyDescent="0.3">
      <c r="B3" t="s">
        <v>58</v>
      </c>
      <c r="C3" s="6">
        <f>('Input data'!C19+'Input data'!C20)/2*1000*'Input data'!$C$9^2*TAN(1/57.325)</f>
        <v>34402.443041224731</v>
      </c>
      <c r="D3" t="s">
        <v>20</v>
      </c>
      <c r="F3" s="12" t="s">
        <v>77</v>
      </c>
      <c r="G3" s="13">
        <f>'Input data'!C20/('Input data'!C20+'Input data'!C19)</f>
        <v>0.4</v>
      </c>
      <c r="H3" s="12" t="s">
        <v>5</v>
      </c>
    </row>
    <row r="4" spans="2:8" x14ac:dyDescent="0.3">
      <c r="B4" t="s">
        <v>59</v>
      </c>
      <c r="C4" s="6">
        <f>('Input data'!C20+'Input data'!C21)/2*1000*'Input data'!$C$9^2*TAN(1/57.325)</f>
        <v>34402.443041224731</v>
      </c>
      <c r="D4" t="s">
        <v>20</v>
      </c>
      <c r="F4" s="12" t="s">
        <v>78</v>
      </c>
      <c r="G4" s="13">
        <f>'Input data'!C22/('Input data'!C22+'Input data'!C21)</f>
        <v>0.4</v>
      </c>
      <c r="H4" s="12" t="s">
        <v>5</v>
      </c>
    </row>
    <row r="5" spans="2:8" x14ac:dyDescent="0.3">
      <c r="B5" t="s">
        <v>60</v>
      </c>
      <c r="C5" s="6">
        <f>('Input data'!C21+'Input data'!C22)/2*1000*'Input data'!$C$9^2*TAN(1/57.325)</f>
        <v>34402.443041224731</v>
      </c>
      <c r="D5" t="s">
        <v>20</v>
      </c>
      <c r="F5" s="12" t="s">
        <v>79</v>
      </c>
      <c r="G5" s="13">
        <f>'Input data'!C24/('Input data'!C24+'Input data'!C23)</f>
        <v>0.38554216867469882</v>
      </c>
      <c r="H5" s="12" t="s">
        <v>5</v>
      </c>
    </row>
    <row r="6" spans="2:8" x14ac:dyDescent="0.3">
      <c r="B6" t="s">
        <v>61</v>
      </c>
      <c r="C6" s="6">
        <f>('Input data'!C22+'Input data'!C23)/2*1000*'Input data'!$C$9^2*TAN(1/57.325)</f>
        <v>35692.534655270661</v>
      </c>
      <c r="D6" t="s">
        <v>20</v>
      </c>
      <c r="F6" s="12" t="s">
        <v>80</v>
      </c>
      <c r="G6" s="13">
        <f>'Input data'!C26/('Input data'!C26+'Input data'!C25)</f>
        <v>0.46376811594202899</v>
      </c>
      <c r="H6" s="12" t="s">
        <v>5</v>
      </c>
    </row>
    <row r="7" spans="2:8" x14ac:dyDescent="0.3">
      <c r="B7" t="s">
        <v>62</v>
      </c>
      <c r="C7" s="6">
        <f>('Input data'!C23+'Input data'!C24)/2*1000*'Input data'!$C$9^2*TAN(1/57.325)</f>
        <v>35692.534655270661</v>
      </c>
      <c r="D7" t="s">
        <v>20</v>
      </c>
      <c r="F7" s="12" t="s">
        <v>81</v>
      </c>
      <c r="G7" s="13">
        <f>'Input data'!C28/('Input data'!C28+'Input data'!C27)</f>
        <v>0.45508982035928142</v>
      </c>
      <c r="H7" s="12" t="s">
        <v>5</v>
      </c>
    </row>
    <row r="8" spans="2:8" x14ac:dyDescent="0.3">
      <c r="F8" s="12"/>
      <c r="G8" s="12"/>
      <c r="H8" s="12"/>
    </row>
    <row r="9" spans="2:8" x14ac:dyDescent="0.3">
      <c r="B9" t="s">
        <v>53</v>
      </c>
      <c r="C9" s="7">
        <f>1/6.28*SQRT(180/3.14*'Pitch mode'!C3/'Input data'!$H$14)</f>
        <v>5.7740954804446041</v>
      </c>
      <c r="D9" t="s">
        <v>33</v>
      </c>
      <c r="F9" s="12" t="s">
        <v>82</v>
      </c>
      <c r="G9" s="14">
        <f>((2*'Input data'!C34+'Input data'!C36)*'Pitch mode'!G3+(2*'Input data'!C35+'Input data'!C37)*(1-'Pitch mode'!G3))*'Input data'!C9^2*TAN(1/57.325)</f>
        <v>2315.2844166744248</v>
      </c>
      <c r="H9" s="12" t="s">
        <v>46</v>
      </c>
    </row>
    <row r="10" spans="2:8" x14ac:dyDescent="0.3">
      <c r="B10" t="s">
        <v>63</v>
      </c>
      <c r="C10" s="7">
        <f>1/6.28*SQRT(180/3.14*'Pitch mode'!C4/'Input data'!$H$14)</f>
        <v>5.7740954804446041</v>
      </c>
      <c r="D10" t="s">
        <v>33</v>
      </c>
    </row>
    <row r="11" spans="2:8" x14ac:dyDescent="0.3">
      <c r="B11" t="s">
        <v>64</v>
      </c>
      <c r="C11" s="7">
        <f>1/6.28*SQRT(180/3.14*'Pitch mode'!C5/'Input data'!$H$14)</f>
        <v>5.7740954804446041</v>
      </c>
      <c r="D11" t="s">
        <v>33</v>
      </c>
    </row>
    <row r="12" spans="2:8" x14ac:dyDescent="0.3">
      <c r="B12" t="s">
        <v>65</v>
      </c>
      <c r="C12" s="7">
        <f>1/6.28*SQRT(180/3.14*'Pitch mode'!C6/'Input data'!$H$14)</f>
        <v>5.8813633891674479</v>
      </c>
      <c r="D12" t="s">
        <v>33</v>
      </c>
    </row>
    <row r="13" spans="2:8" x14ac:dyDescent="0.3">
      <c r="B13" t="s">
        <v>66</v>
      </c>
      <c r="C13" s="7">
        <f>1/6.28*SQRT(180/3.14*'Pitch mode'!C7/'Input data'!$H$14)</f>
        <v>5.8813633891674479</v>
      </c>
      <c r="D13" t="s">
        <v>33</v>
      </c>
    </row>
    <row r="15" spans="2:8" x14ac:dyDescent="0.3">
      <c r="B15" t="s">
        <v>67</v>
      </c>
      <c r="C15" s="6">
        <f>2*SQRT(C3*57.325*'Input data'!$H$14)/57.325</f>
        <v>1897.470672514776</v>
      </c>
      <c r="D15" t="s">
        <v>55</v>
      </c>
    </row>
    <row r="16" spans="2:8" x14ac:dyDescent="0.3">
      <c r="B16" t="s">
        <v>68</v>
      </c>
      <c r="C16" s="6">
        <f>2*SQRT(C4*57.325*'Input data'!$H$14)/57.325</f>
        <v>1897.470672514776</v>
      </c>
      <c r="D16" t="s">
        <v>55</v>
      </c>
    </row>
    <row r="17" spans="2:6" x14ac:dyDescent="0.3">
      <c r="B17" t="s">
        <v>69</v>
      </c>
      <c r="C17" s="6">
        <f>2*SQRT(C5*57.325*'Input data'!$H$14)/57.325</f>
        <v>1897.470672514776</v>
      </c>
      <c r="D17" t="s">
        <v>55</v>
      </c>
    </row>
    <row r="18" spans="2:6" x14ac:dyDescent="0.3">
      <c r="B18" t="s">
        <v>70</v>
      </c>
      <c r="C18" s="6">
        <f>2*SQRT(C6*57.325*'Input data'!$H$14)/57.325</f>
        <v>1932.7208188957839</v>
      </c>
      <c r="D18" t="s">
        <v>55</v>
      </c>
    </row>
    <row r="19" spans="2:6" x14ac:dyDescent="0.3">
      <c r="B19" t="s">
        <v>71</v>
      </c>
      <c r="C19" s="6">
        <f>2*SQRT(C7*57.325*'Input data'!$H$14)/57.325</f>
        <v>1932.7208188957839</v>
      </c>
      <c r="D19" t="s">
        <v>55</v>
      </c>
    </row>
    <row r="21" spans="2:6" x14ac:dyDescent="0.3">
      <c r="B21" t="s">
        <v>164</v>
      </c>
      <c r="C21" s="75">
        <f>(2*'Input data'!$C$34+2*'Input data'!$C$35+'Input data'!$C$36+'Input data'!$C$37)/2/'Input data'!$C$9^2/C15</f>
        <v>0.74325292145133481</v>
      </c>
      <c r="D21" t="s">
        <v>5</v>
      </c>
      <c r="E21" s="32" t="s">
        <v>117</v>
      </c>
      <c r="F21" s="62" t="s">
        <v>169</v>
      </c>
    </row>
    <row r="22" spans="2:6" x14ac:dyDescent="0.3">
      <c r="B22" t="s">
        <v>165</v>
      </c>
      <c r="C22" s="7">
        <f>(2*'Input data'!$C$34+2*'Input data'!$C$35+'Input data'!$C$36+'Input data'!$C$37)/2/'Input data'!$C$9^2/C16</f>
        <v>0.74325292145133481</v>
      </c>
      <c r="D22" t="s">
        <v>5</v>
      </c>
      <c r="E22" s="32" t="s">
        <v>117</v>
      </c>
    </row>
    <row r="23" spans="2:6" x14ac:dyDescent="0.3">
      <c r="B23" t="s">
        <v>166</v>
      </c>
      <c r="C23" s="7">
        <f>(2*'Input data'!$C$34+2*'Input data'!$C$35+'Input data'!$C$36+'Input data'!$C$37)/2/'Input data'!$C$9^2/C17</f>
        <v>0.74325292145133481</v>
      </c>
      <c r="D23" t="s">
        <v>5</v>
      </c>
      <c r="E23" s="32" t="s">
        <v>117</v>
      </c>
    </row>
    <row r="24" spans="2:6" x14ac:dyDescent="0.3">
      <c r="B24" t="s">
        <v>167</v>
      </c>
      <c r="C24" s="7">
        <f>(2*'Input data'!$C$34+2*'Input data'!$C$35+'Input data'!$C$36+'Input data'!$C$37)/2/'Input data'!$C$9^2/C18</f>
        <v>0.72969701931424291</v>
      </c>
      <c r="D24" t="s">
        <v>5</v>
      </c>
      <c r="E24" s="32" t="s">
        <v>117</v>
      </c>
    </row>
    <row r="25" spans="2:6" x14ac:dyDescent="0.3">
      <c r="B25" t="s">
        <v>168</v>
      </c>
      <c r="C25" s="7">
        <f>(2*'Input data'!$C$34+2*'Input data'!$C$35+'Input data'!$C$36+'Input data'!$C$37)/2/'Input data'!$C$9^2/C19</f>
        <v>0.72969701931424291</v>
      </c>
      <c r="D25" t="s">
        <v>5</v>
      </c>
      <c r="E25" s="32" t="s">
        <v>117</v>
      </c>
    </row>
    <row r="27" spans="2:6" x14ac:dyDescent="0.3">
      <c r="B27" s="12" t="s">
        <v>45</v>
      </c>
      <c r="C27" s="14">
        <f>2*C15*'Input data'!$C$4/'Input data'!$C$9^2/TAN(1/57.325)</f>
        <v>10038.23077285139</v>
      </c>
      <c r="D27" s="12" t="s">
        <v>46</v>
      </c>
      <c r="E27" s="61"/>
    </row>
    <row r="28" spans="2:6" x14ac:dyDescent="0.3">
      <c r="B28" s="12" t="s">
        <v>45</v>
      </c>
      <c r="C28" s="14">
        <f>C16*'Input data'!$C$4/'Input data'!$C$9^2/TAN(1/57.325)</f>
        <v>5019.1153864256949</v>
      </c>
      <c r="D28" s="12" t="s">
        <v>46</v>
      </c>
      <c r="E28" s="61"/>
    </row>
    <row r="29" spans="2:6" x14ac:dyDescent="0.3">
      <c r="B29" s="12" t="s">
        <v>45</v>
      </c>
      <c r="C29" s="14">
        <f>C17*'Input data'!$C$4/'Input data'!$C$9^2/TAN(1/57.325)</f>
        <v>5019.1153864256949</v>
      </c>
      <c r="D29" s="12" t="s">
        <v>46</v>
      </c>
      <c r="E29" s="61"/>
    </row>
    <row r="30" spans="2:6" x14ac:dyDescent="0.3">
      <c r="B30" s="12" t="s">
        <v>45</v>
      </c>
      <c r="C30" s="14">
        <f>C18*'Input data'!$C$4/'Input data'!$C$9^2/TAN(1/57.325)</f>
        <v>5112.3576982239529</v>
      </c>
      <c r="D30" s="12" t="s">
        <v>46</v>
      </c>
      <c r="E30" s="61"/>
    </row>
    <row r="31" spans="2:6" x14ac:dyDescent="0.3">
      <c r="B31" s="12" t="s">
        <v>45</v>
      </c>
      <c r="C31" s="14">
        <f>C19*'Input data'!$C$4/'Input data'!$C$9^2/TAN(1/57.325)</f>
        <v>5112.3576982239529</v>
      </c>
      <c r="D31" s="12" t="s">
        <v>46</v>
      </c>
      <c r="E31" s="61"/>
    </row>
    <row r="32" spans="2:6" x14ac:dyDescent="0.3">
      <c r="B32" s="12"/>
      <c r="C32" s="12"/>
      <c r="D32" s="12"/>
      <c r="E32" s="61"/>
    </row>
    <row r="33" spans="2:5" x14ac:dyDescent="0.3">
      <c r="B33" s="12" t="s">
        <v>47</v>
      </c>
      <c r="C33" s="14">
        <f>C15*(1-'Input data'!$C$4)/'Input data'!$C$9^2/TAN(1/57.325)</f>
        <v>6011.907440883524</v>
      </c>
      <c r="D33" s="12" t="s">
        <v>46</v>
      </c>
      <c r="E33" s="61"/>
    </row>
    <row r="34" spans="2:5" x14ac:dyDescent="0.3">
      <c r="B34" s="12" t="s">
        <v>47</v>
      </c>
      <c r="C34" s="14">
        <f>C16*(1-'Input data'!$C$4)/'Input data'!$C$9^2/TAN(1/57.325)</f>
        <v>6011.907440883524</v>
      </c>
      <c r="D34" s="12" t="s">
        <v>46</v>
      </c>
      <c r="E34" s="61"/>
    </row>
    <row r="35" spans="2:5" x14ac:dyDescent="0.3">
      <c r="B35" s="12" t="s">
        <v>47</v>
      </c>
      <c r="C35" s="14">
        <f>C17*(1-'Input data'!$C$4)/'Input data'!$C$9^2/TAN(1/57.325)</f>
        <v>6011.907440883524</v>
      </c>
      <c r="D35" s="12" t="s">
        <v>46</v>
      </c>
      <c r="E35" s="61"/>
    </row>
    <row r="36" spans="2:5" x14ac:dyDescent="0.3">
      <c r="B36" s="12" t="s">
        <v>47</v>
      </c>
      <c r="C36" s="14">
        <f>C18*(1-'Input data'!$C$4)/'Input data'!$C$9^2/TAN(1/57.325)</f>
        <v>6123.5932868836344</v>
      </c>
      <c r="D36" s="12" t="s">
        <v>46</v>
      </c>
      <c r="E36" s="61"/>
    </row>
    <row r="37" spans="2:5" x14ac:dyDescent="0.3">
      <c r="B37" s="12" t="s">
        <v>47</v>
      </c>
      <c r="C37" s="14">
        <f>C19*(1-'Input data'!$C$4)/'Input data'!$C$9^2/TAN(1/57.325)</f>
        <v>6123.5932868836344</v>
      </c>
      <c r="D37" s="12" t="s">
        <v>46</v>
      </c>
      <c r="E37" s="61"/>
    </row>
    <row r="38" spans="2:5" x14ac:dyDescent="0.3">
      <c r="B38" s="12"/>
      <c r="C38" s="12"/>
      <c r="D38" s="12"/>
      <c r="E38" s="12"/>
    </row>
    <row r="39" spans="2:5" x14ac:dyDescent="0.3">
      <c r="B39" s="12" t="s">
        <v>83</v>
      </c>
      <c r="C39" s="13"/>
      <c r="D39" s="12" t="s">
        <v>5</v>
      </c>
      <c r="E39" s="12"/>
    </row>
    <row r="40" spans="2:5" x14ac:dyDescent="0.3">
      <c r="B40" s="12" t="s">
        <v>85</v>
      </c>
      <c r="C40" s="13"/>
      <c r="D40" s="12" t="s">
        <v>5</v>
      </c>
      <c r="E40" s="12"/>
    </row>
    <row r="41" spans="2:5" x14ac:dyDescent="0.3">
      <c r="B41" s="12" t="s">
        <v>86</v>
      </c>
      <c r="C41" s="13"/>
      <c r="D41" s="12" t="s">
        <v>5</v>
      </c>
      <c r="E41" s="12"/>
    </row>
    <row r="42" spans="2:5" x14ac:dyDescent="0.3">
      <c r="B42" s="12" t="s">
        <v>87</v>
      </c>
      <c r="C42" s="13"/>
      <c r="D42" s="12" t="s">
        <v>5</v>
      </c>
      <c r="E42" s="12"/>
    </row>
    <row r="43" spans="2:5" x14ac:dyDescent="0.3">
      <c r="B43" s="12" t="s">
        <v>88</v>
      </c>
      <c r="C43" s="13"/>
      <c r="D43" s="12" t="s">
        <v>5</v>
      </c>
      <c r="E43" s="12"/>
    </row>
    <row r="44" spans="2:5" x14ac:dyDescent="0.3">
      <c r="B44" s="12"/>
      <c r="C44" s="12"/>
      <c r="D44" s="12"/>
      <c r="E44" s="12"/>
    </row>
    <row r="45" spans="2:5" x14ac:dyDescent="0.3">
      <c r="B45" s="12" t="s">
        <v>84</v>
      </c>
      <c r="C45" s="13"/>
      <c r="D45" s="12" t="s">
        <v>5</v>
      </c>
      <c r="E45" s="12"/>
    </row>
    <row r="46" spans="2:5" x14ac:dyDescent="0.3">
      <c r="B46" s="12" t="s">
        <v>89</v>
      </c>
      <c r="C46" s="13"/>
      <c r="D46" s="12" t="s">
        <v>5</v>
      </c>
      <c r="E46" s="12"/>
    </row>
    <row r="47" spans="2:5" x14ac:dyDescent="0.3">
      <c r="B47" s="12" t="s">
        <v>90</v>
      </c>
      <c r="C47" s="13"/>
      <c r="D47" s="12" t="s">
        <v>5</v>
      </c>
      <c r="E47" s="12"/>
    </row>
    <row r="48" spans="2:5" x14ac:dyDescent="0.3">
      <c r="B48" s="12" t="s">
        <v>91</v>
      </c>
      <c r="C48" s="13"/>
      <c r="D48" s="12" t="s">
        <v>5</v>
      </c>
      <c r="E48" s="12"/>
    </row>
    <row r="49" spans="2:5" x14ac:dyDescent="0.3">
      <c r="B49" s="12" t="s">
        <v>92</v>
      </c>
      <c r="C49" s="13"/>
      <c r="D49" s="12" t="s">
        <v>5</v>
      </c>
      <c r="E49" s="1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37</vt:i4>
      </vt:variant>
    </vt:vector>
  </HeadingPairs>
  <TitlesOfParts>
    <vt:vector size="50" baseType="lpstr">
      <vt:lpstr>Postrig tests (r05)</vt:lpstr>
      <vt:lpstr>Input data</vt:lpstr>
      <vt:lpstr>Summary-80</vt:lpstr>
      <vt:lpstr>Summary-160</vt:lpstr>
      <vt:lpstr>Summary-240</vt:lpstr>
      <vt:lpstr>Summary-320</vt:lpstr>
      <vt:lpstr>Heave mode</vt:lpstr>
      <vt:lpstr>Roll mode</vt:lpstr>
      <vt:lpstr>Pitch mode</vt:lpstr>
      <vt:lpstr>Base setup - First Request</vt:lpstr>
      <vt:lpstr>Postrig tests</vt:lpstr>
      <vt:lpstr>Damping ratio FRF</vt:lpstr>
      <vt:lpstr>Sheet4</vt:lpstr>
      <vt:lpstr>AVG_track</vt:lpstr>
      <vt:lpstr>central_damp_f</vt:lpstr>
      <vt:lpstr>central_damp_r</vt:lpstr>
      <vt:lpstr>CoG_h</vt:lpstr>
      <vt:lpstr>CoG_RC_arm_length</vt:lpstr>
      <vt:lpstr>Damping_balance</vt:lpstr>
      <vt:lpstr>front_ELASTIC_roll_stiff_bal</vt:lpstr>
      <vt:lpstr>front_spr_mass</vt:lpstr>
      <vt:lpstr>heave_stiff_f_160</vt:lpstr>
      <vt:lpstr>heave_stiff_f_240</vt:lpstr>
      <vt:lpstr>heave_stiff_f_320</vt:lpstr>
      <vt:lpstr>heave_stiff_f_80</vt:lpstr>
      <vt:lpstr>heave_stiff_r_160</vt:lpstr>
      <vt:lpstr>heave_stiff_r_240</vt:lpstr>
      <vt:lpstr>heave_stiff_r_320</vt:lpstr>
      <vt:lpstr>heave_stiff_r_80</vt:lpstr>
      <vt:lpstr>lateral_damper_f</vt:lpstr>
      <vt:lpstr>lateral_damper_r</vt:lpstr>
      <vt:lpstr>min_heave_stiff_f</vt:lpstr>
      <vt:lpstr>min_heave_stiff_r</vt:lpstr>
      <vt:lpstr>Pitch_Iyy</vt:lpstr>
      <vt:lpstr>rear_spr_mass</vt:lpstr>
      <vt:lpstr>reb_to_comp</vt:lpstr>
      <vt:lpstr>RG_all_car</vt:lpstr>
      <vt:lpstr>RG_sprung</vt:lpstr>
      <vt:lpstr>roll_axis_below_Cog</vt:lpstr>
      <vt:lpstr>Roll_Ixx</vt:lpstr>
      <vt:lpstr>roll_stiff_f</vt:lpstr>
      <vt:lpstr>roll_stiff_r</vt:lpstr>
      <vt:lpstr>Sprung_Mass</vt:lpstr>
      <vt:lpstr>total_roll_stiff</vt:lpstr>
      <vt:lpstr>Track_front</vt:lpstr>
      <vt:lpstr>Track_rear</vt:lpstr>
      <vt:lpstr>Unspr_mass_f_corner</vt:lpstr>
      <vt:lpstr>Unspr_mass_r_coner</vt:lpstr>
      <vt:lpstr>W_front</vt:lpstr>
      <vt:lpstr>Wheelbase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Matteo.Paganini</cp:lastModifiedBy>
  <dcterms:created xsi:type="dcterms:W3CDTF">2020-04-01T11:12:39Z</dcterms:created>
  <dcterms:modified xsi:type="dcterms:W3CDTF">2020-11-25T18:51:05Z</dcterms:modified>
</cp:coreProperties>
</file>