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4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5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8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19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22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23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24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25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0.10.105.50\SCG007c_Data\Car01\06_Setup\"/>
    </mc:Choice>
  </mc:AlternateContent>
  <xr:revisionPtr revIDLastSave="0" documentId="13_ncr:1_{20E563DA-E407-4B84-9A37-355D645C84BB}" xr6:coauthVersionLast="47" xr6:coauthVersionMax="47" xr10:uidLastSave="{00000000-0000-0000-0000-000000000000}"/>
  <bookViews>
    <workbookView xWindow="1500" yWindow="-120" windowWidth="27420" windowHeight="16440" tabRatio="941" xr2:uid="{E85B239D-F83C-45ED-B7E1-DA8BBBF6FCBC}"/>
  </bookViews>
  <sheets>
    <sheet name="Setup_Log_NEW" sheetId="42" r:id="rId1"/>
    <sheet name="SETUP-SHEET for 21R03 #709" sheetId="40" r:id="rId2"/>
    <sheet name="SETUP-SHEET for 21R03 #708" sheetId="34" r:id="rId3"/>
    <sheet name="Setup_Log" sheetId="26" r:id="rId4"/>
    <sheet name="Driver_Fit_709" sheetId="37" r:id="rId5"/>
    <sheet name="01_Aerodynamics" sheetId="7" r:id="rId6"/>
    <sheet name="01_Aerodynamics2" sheetId="39" r:id="rId7"/>
    <sheet name="02_3rd elements" sheetId="4" r:id="rId8"/>
    <sheet name="03_Anti-Roll Bars (LM-FP3)" sheetId="50" r:id="rId9"/>
    <sheet name="03_Anti-Roll Bars (LM-FP1)" sheetId="49" r:id="rId10"/>
    <sheet name="03_Anti-Roll Bars (LM-Test)" sheetId="48" r:id="rId11"/>
    <sheet name="03_Anti-Roll Bars (MNZ)" sheetId="47" r:id="rId12"/>
    <sheet name="03_Anti-Roll Bars (POR) (2)" sheetId="46" r:id="rId13"/>
    <sheet name="03_Anti-Roll Bars (POR)" sheetId="44" r:id="rId14"/>
    <sheet name="03_Anti-Roll Bars (VAL)" sheetId="43" r:id="rId15"/>
    <sheet name="03_Anti-Roll Bars" sheetId="20" r:id="rId16"/>
    <sheet name="04_Springs" sheetId="3" r:id="rId17"/>
    <sheet name="05_Bump-stops" sheetId="9" r:id="rId18"/>
    <sheet name="06_Dampers" sheetId="5" r:id="rId19"/>
    <sheet name="07_Brakes" sheetId="2" r:id="rId20"/>
    <sheet name="08_Gearbox" sheetId="12" r:id="rId21"/>
    <sheet name="09_Differential" sheetId="15" r:id="rId22"/>
    <sheet name="10_Engine" sheetId="8" r:id="rId23"/>
    <sheet name="11_Traction Control" sheetId="14" r:id="rId24"/>
    <sheet name="12_Kinematics" sheetId="16" r:id="rId25"/>
    <sheet name="13_Ballast" sheetId="18" r:id="rId26"/>
    <sheet name="14_Bodywork" sheetId="19" r:id="rId27"/>
    <sheet name="_calculations" sheetId="10" r:id="rId28"/>
    <sheet name="_constants" sheetId="17" r:id="rId29"/>
    <sheet name="08b_Gearbox_Long-Proposal" sheetId="21" r:id="rId30"/>
    <sheet name="LoadCell" sheetId="31" r:id="rId31"/>
    <sheet name="TC_DRY" sheetId="28" r:id="rId32"/>
    <sheet name="TC_DRY (2)" sheetId="32" r:id="rId33"/>
    <sheet name="TC_WET" sheetId="30" r:id="rId34"/>
    <sheet name="Thermax" sheetId="22" r:id="rId35"/>
    <sheet name="_todo" sheetId="11" r:id="rId36"/>
    <sheet name="SETUP-SHEET_After21T03" sheetId="1" r:id="rId37"/>
    <sheet name="07_Brakes_Experiments" sheetId="33" r:id="rId38"/>
  </sheets>
  <externalReferences>
    <externalReference r:id="rId3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55" i="50" l="1"/>
  <c r="AG55" i="50"/>
  <c r="AH54" i="50"/>
  <c r="AI55" i="50" s="1"/>
  <c r="AG54" i="50"/>
  <c r="AH53" i="50"/>
  <c r="AI53" i="50" s="1"/>
  <c r="AG53" i="50"/>
  <c r="AH52" i="50"/>
  <c r="AI52" i="50" s="1"/>
  <c r="AG52" i="50"/>
  <c r="AH51" i="50"/>
  <c r="AI51" i="50" s="1"/>
  <c r="AG51" i="50"/>
  <c r="AI50" i="50"/>
  <c r="AH50" i="50"/>
  <c r="AG50" i="50"/>
  <c r="AH49" i="50"/>
  <c r="AI49" i="50" s="1"/>
  <c r="AG49" i="50"/>
  <c r="AI48" i="50"/>
  <c r="AH48" i="50"/>
  <c r="AG48" i="50"/>
  <c r="AH47" i="50"/>
  <c r="AG47" i="50"/>
  <c r="AH46" i="50"/>
  <c r="AI47" i="50" s="1"/>
  <c r="AG46" i="50"/>
  <c r="AH45" i="50"/>
  <c r="AI45" i="50" s="1"/>
  <c r="AG45" i="50"/>
  <c r="AH44" i="50"/>
  <c r="AI44" i="50" s="1"/>
  <c r="AG44" i="50"/>
  <c r="AH43" i="50"/>
  <c r="AI43" i="50" s="1"/>
  <c r="AG43" i="50"/>
  <c r="AI42" i="50"/>
  <c r="AH42" i="50"/>
  <c r="AG42" i="50"/>
  <c r="AH41" i="50"/>
  <c r="K24" i="50"/>
  <c r="K22" i="50"/>
  <c r="K17" i="50"/>
  <c r="I38" i="50" s="1"/>
  <c r="K16" i="50"/>
  <c r="AE14" i="50"/>
  <c r="AE13" i="50"/>
  <c r="AE12" i="50"/>
  <c r="AF11" i="50"/>
  <c r="AH11" i="50" s="1"/>
  <c r="AI11" i="50" s="1"/>
  <c r="AE11" i="50"/>
  <c r="AH10" i="50"/>
  <c r="K9" i="50"/>
  <c r="F10" i="42"/>
  <c r="H10" i="42" s="1"/>
  <c r="G10" i="42"/>
  <c r="I10" i="42" s="1"/>
  <c r="F11" i="42"/>
  <c r="G11" i="42"/>
  <c r="H11" i="42"/>
  <c r="I11" i="42"/>
  <c r="F13" i="42"/>
  <c r="H13" i="42" s="1"/>
  <c r="G13" i="42"/>
  <c r="I13" i="42" s="1"/>
  <c r="F14" i="42"/>
  <c r="G14" i="42"/>
  <c r="H14" i="42"/>
  <c r="I14" i="42"/>
  <c r="F16" i="42"/>
  <c r="H16" i="42" s="1"/>
  <c r="G16" i="42"/>
  <c r="I16" i="42" s="1"/>
  <c r="F17" i="42"/>
  <c r="H17" i="42" s="1"/>
  <c r="G17" i="42"/>
  <c r="I17" i="42" s="1"/>
  <c r="F19" i="42"/>
  <c r="H19" i="42" s="1"/>
  <c r="G19" i="42"/>
  <c r="I19" i="42" s="1"/>
  <c r="F20" i="42"/>
  <c r="H20" i="42" s="1"/>
  <c r="G20" i="42"/>
  <c r="I20" i="42" s="1"/>
  <c r="M29" i="3"/>
  <c r="M28" i="3"/>
  <c r="I31" i="48"/>
  <c r="H29" i="3"/>
  <c r="I29" i="3"/>
  <c r="J29" i="3" s="1"/>
  <c r="L29" i="3" s="1"/>
  <c r="AI55" i="49"/>
  <c r="AH55" i="49"/>
  <c r="AG55" i="49"/>
  <c r="AH54" i="49"/>
  <c r="AG54" i="49"/>
  <c r="AH53" i="49"/>
  <c r="AI54" i="49" s="1"/>
  <c r="AG53" i="49"/>
  <c r="AH52" i="49"/>
  <c r="AI52" i="49" s="1"/>
  <c r="AG52" i="49"/>
  <c r="AH51" i="49"/>
  <c r="AI51" i="49" s="1"/>
  <c r="AG51" i="49"/>
  <c r="AI50" i="49"/>
  <c r="AH50" i="49"/>
  <c r="AG50" i="49"/>
  <c r="AH49" i="49"/>
  <c r="AI49" i="49" s="1"/>
  <c r="AG49" i="49"/>
  <c r="AI48" i="49"/>
  <c r="AH48" i="49"/>
  <c r="AG48" i="49"/>
  <c r="AI47" i="49"/>
  <c r="AH47" i="49"/>
  <c r="AG47" i="49"/>
  <c r="AH46" i="49"/>
  <c r="AG46" i="49"/>
  <c r="AH45" i="49"/>
  <c r="AI46" i="49" s="1"/>
  <c r="AG45" i="49"/>
  <c r="AH44" i="49"/>
  <c r="AI44" i="49" s="1"/>
  <c r="AG44" i="49"/>
  <c r="AH43" i="49"/>
  <c r="AI43" i="49" s="1"/>
  <c r="AG43" i="49"/>
  <c r="AI42" i="49"/>
  <c r="AH42" i="49"/>
  <c r="AG42" i="49"/>
  <c r="AH41" i="49"/>
  <c r="K24" i="49"/>
  <c r="K22" i="49"/>
  <c r="K17" i="49"/>
  <c r="D16" i="49" s="1"/>
  <c r="K16" i="49"/>
  <c r="AE14" i="49"/>
  <c r="AE13" i="49"/>
  <c r="AE12" i="49"/>
  <c r="AF11" i="49"/>
  <c r="AF12" i="49" s="1"/>
  <c r="AE11" i="49"/>
  <c r="AH10" i="49"/>
  <c r="K9" i="49"/>
  <c r="AI55" i="48"/>
  <c r="AH55" i="48"/>
  <c r="AG55" i="48"/>
  <c r="AH54" i="48"/>
  <c r="AI54" i="48" s="1"/>
  <c r="AG54" i="48"/>
  <c r="AH53" i="48"/>
  <c r="AI53" i="48" s="1"/>
  <c r="AG53" i="48"/>
  <c r="AI52" i="48"/>
  <c r="AH52" i="48"/>
  <c r="AG52" i="48"/>
  <c r="AH51" i="48"/>
  <c r="AG51" i="48"/>
  <c r="AH50" i="48"/>
  <c r="AI51" i="48" s="1"/>
  <c r="AG50" i="48"/>
  <c r="AH49" i="48"/>
  <c r="AI49" i="48" s="1"/>
  <c r="AG49" i="48"/>
  <c r="AH48" i="48"/>
  <c r="AI48" i="48" s="1"/>
  <c r="AG48" i="48"/>
  <c r="AI47" i="48"/>
  <c r="AH47" i="48"/>
  <c r="AG47" i="48"/>
  <c r="AH46" i="48"/>
  <c r="AI46" i="48" s="1"/>
  <c r="AG46" i="48"/>
  <c r="AH45" i="48"/>
  <c r="AI45" i="48" s="1"/>
  <c r="AG45" i="48"/>
  <c r="AI44" i="48"/>
  <c r="AH44" i="48"/>
  <c r="AG44" i="48"/>
  <c r="AH43" i="48"/>
  <c r="AG43" i="48"/>
  <c r="AH42" i="48"/>
  <c r="AI43" i="48" s="1"/>
  <c r="AG42" i="48"/>
  <c r="AH41" i="48"/>
  <c r="D37" i="48"/>
  <c r="E34" i="48"/>
  <c r="K24" i="48"/>
  <c r="F23" i="48"/>
  <c r="E23" i="48"/>
  <c r="K22" i="48"/>
  <c r="K17" i="48"/>
  <c r="D34" i="48" s="1"/>
  <c r="D17" i="48"/>
  <c r="C17" i="48"/>
  <c r="K16" i="48"/>
  <c r="AE14" i="48"/>
  <c r="AE13" i="48"/>
  <c r="AE12" i="48"/>
  <c r="C12" i="48"/>
  <c r="AF11" i="48"/>
  <c r="AH11" i="48" s="1"/>
  <c r="AI11" i="48" s="1"/>
  <c r="AE11" i="48"/>
  <c r="AH10" i="48"/>
  <c r="K9" i="48"/>
  <c r="C27" i="50" l="1"/>
  <c r="C16" i="50"/>
  <c r="C33" i="50"/>
  <c r="C38" i="50"/>
  <c r="F12" i="50"/>
  <c r="F17" i="50"/>
  <c r="E13" i="50"/>
  <c r="E20" i="50"/>
  <c r="E39" i="50"/>
  <c r="D22" i="50"/>
  <c r="D14" i="50"/>
  <c r="C30" i="50"/>
  <c r="C35" i="50"/>
  <c r="E22" i="50"/>
  <c r="F39" i="50"/>
  <c r="F13" i="50"/>
  <c r="E14" i="50"/>
  <c r="D16" i="50"/>
  <c r="F20" i="50"/>
  <c r="F22" i="50"/>
  <c r="D27" i="50"/>
  <c r="D30" i="50"/>
  <c r="D33" i="50"/>
  <c r="D35" i="50"/>
  <c r="D38" i="50"/>
  <c r="C40" i="50"/>
  <c r="F16" i="50"/>
  <c r="D18" i="50"/>
  <c r="D21" i="50"/>
  <c r="C23" i="50"/>
  <c r="F27" i="50"/>
  <c r="F30" i="50"/>
  <c r="F33" i="50"/>
  <c r="F35" i="50"/>
  <c r="F38" i="50"/>
  <c r="E40" i="50"/>
  <c r="AG11" i="50"/>
  <c r="E16" i="50"/>
  <c r="E27" i="50"/>
  <c r="E38" i="50"/>
  <c r="D10" i="50"/>
  <c r="E18" i="50"/>
  <c r="E21" i="50"/>
  <c r="D23" i="50"/>
  <c r="C29" i="50"/>
  <c r="C31" i="50"/>
  <c r="C34" i="50"/>
  <c r="C37" i="50"/>
  <c r="F40" i="50"/>
  <c r="AI46" i="50"/>
  <c r="AI54" i="50"/>
  <c r="AF12" i="50"/>
  <c r="E33" i="50"/>
  <c r="E10" i="50"/>
  <c r="C12" i="50"/>
  <c r="C17" i="50"/>
  <c r="F18" i="50"/>
  <c r="F21" i="50"/>
  <c r="E23" i="50"/>
  <c r="D29" i="50"/>
  <c r="D31" i="50"/>
  <c r="D34" i="50"/>
  <c r="D37" i="50"/>
  <c r="C39" i="50"/>
  <c r="F14" i="50"/>
  <c r="C10" i="50"/>
  <c r="F10" i="50"/>
  <c r="D12" i="50"/>
  <c r="C13" i="50"/>
  <c r="D17" i="50"/>
  <c r="C20" i="50"/>
  <c r="C22" i="50"/>
  <c r="F23" i="50"/>
  <c r="E29" i="50"/>
  <c r="E31" i="50"/>
  <c r="E34" i="50"/>
  <c r="E37" i="50"/>
  <c r="D39" i="50"/>
  <c r="C18" i="50"/>
  <c r="C21" i="50"/>
  <c r="E30" i="50"/>
  <c r="E35" i="50"/>
  <c r="D40" i="50"/>
  <c r="E12" i="50"/>
  <c r="D13" i="50"/>
  <c r="C14" i="50"/>
  <c r="E17" i="50"/>
  <c r="D20" i="50"/>
  <c r="F29" i="50"/>
  <c r="F31" i="50"/>
  <c r="F34" i="50"/>
  <c r="F37" i="50"/>
  <c r="I38" i="49"/>
  <c r="E17" i="49"/>
  <c r="E12" i="49"/>
  <c r="D12" i="48"/>
  <c r="E37" i="48"/>
  <c r="F18" i="48"/>
  <c r="D29" i="48"/>
  <c r="C13" i="48"/>
  <c r="E29" i="48"/>
  <c r="E39" i="48"/>
  <c r="F10" i="48"/>
  <c r="F21" i="48"/>
  <c r="D31" i="48"/>
  <c r="D23" i="48"/>
  <c r="D39" i="48"/>
  <c r="E10" i="48"/>
  <c r="C20" i="48"/>
  <c r="C22" i="48"/>
  <c r="E31" i="48"/>
  <c r="C39" i="48"/>
  <c r="D39" i="49"/>
  <c r="E39" i="49"/>
  <c r="D13" i="49"/>
  <c r="D38" i="49"/>
  <c r="F23" i="49"/>
  <c r="C14" i="49"/>
  <c r="AG12" i="49"/>
  <c r="AH12" i="49"/>
  <c r="AI12" i="49" s="1"/>
  <c r="AF13" i="49"/>
  <c r="F29" i="49"/>
  <c r="F34" i="49"/>
  <c r="F37" i="49"/>
  <c r="F39" i="49"/>
  <c r="F12" i="49"/>
  <c r="E13" i="49"/>
  <c r="D14" i="49"/>
  <c r="C16" i="49"/>
  <c r="F17" i="49"/>
  <c r="E20" i="49"/>
  <c r="E22" i="49"/>
  <c r="C27" i="49"/>
  <c r="C30" i="49"/>
  <c r="C33" i="49"/>
  <c r="C35" i="49"/>
  <c r="C38" i="49"/>
  <c r="C40" i="49"/>
  <c r="AI45" i="49"/>
  <c r="AI53" i="49"/>
  <c r="F14" i="49"/>
  <c r="E16" i="49"/>
  <c r="C18" i="49"/>
  <c r="C21" i="49"/>
  <c r="E27" i="49"/>
  <c r="E30" i="49"/>
  <c r="E33" i="49"/>
  <c r="E35" i="49"/>
  <c r="E38" i="49"/>
  <c r="E40" i="49"/>
  <c r="F16" i="49"/>
  <c r="D18" i="49"/>
  <c r="D21" i="49"/>
  <c r="C23" i="49"/>
  <c r="F27" i="49"/>
  <c r="F30" i="49"/>
  <c r="F33" i="49"/>
  <c r="F35" i="49"/>
  <c r="F38" i="49"/>
  <c r="F40" i="49"/>
  <c r="D20" i="49"/>
  <c r="D22" i="49"/>
  <c r="F31" i="49"/>
  <c r="F13" i="49"/>
  <c r="E14" i="49"/>
  <c r="F20" i="49"/>
  <c r="F22" i="49"/>
  <c r="D30" i="49"/>
  <c r="D35" i="49"/>
  <c r="AG11" i="49"/>
  <c r="C10" i="49"/>
  <c r="AH11" i="49"/>
  <c r="AI11" i="49" s="1"/>
  <c r="D10" i="49"/>
  <c r="E18" i="49"/>
  <c r="E21" i="49"/>
  <c r="D23" i="49"/>
  <c r="C29" i="49"/>
  <c r="C31" i="49"/>
  <c r="C34" i="49"/>
  <c r="C37" i="49"/>
  <c r="C39" i="49"/>
  <c r="D27" i="49"/>
  <c r="D33" i="49"/>
  <c r="D40" i="49"/>
  <c r="E10" i="49"/>
  <c r="C12" i="49"/>
  <c r="C17" i="49"/>
  <c r="F18" i="49"/>
  <c r="F21" i="49"/>
  <c r="E23" i="49"/>
  <c r="D29" i="49"/>
  <c r="D31" i="49"/>
  <c r="D34" i="49"/>
  <c r="D37" i="49"/>
  <c r="F10" i="49"/>
  <c r="D12" i="49"/>
  <c r="C13" i="49"/>
  <c r="D17" i="49"/>
  <c r="C20" i="49"/>
  <c r="C22" i="49"/>
  <c r="E29" i="49"/>
  <c r="E31" i="49"/>
  <c r="E34" i="49"/>
  <c r="E37" i="49"/>
  <c r="E12" i="48"/>
  <c r="D13" i="48"/>
  <c r="C14" i="48"/>
  <c r="E17" i="48"/>
  <c r="D20" i="48"/>
  <c r="D22" i="48"/>
  <c r="F29" i="48"/>
  <c r="F31" i="48"/>
  <c r="F34" i="48"/>
  <c r="F37" i="48"/>
  <c r="F39" i="48"/>
  <c r="AI42" i="48"/>
  <c r="AI50" i="48"/>
  <c r="F12" i="48"/>
  <c r="E13" i="48"/>
  <c r="D14" i="48"/>
  <c r="C16" i="48"/>
  <c r="F17" i="48"/>
  <c r="E20" i="48"/>
  <c r="E22" i="48"/>
  <c r="C27" i="48"/>
  <c r="C30" i="48"/>
  <c r="C33" i="48"/>
  <c r="C35" i="48"/>
  <c r="C38" i="48"/>
  <c r="C40" i="48"/>
  <c r="F13" i="48"/>
  <c r="E14" i="48"/>
  <c r="D16" i="48"/>
  <c r="F20" i="48"/>
  <c r="F22" i="48"/>
  <c r="D27" i="48"/>
  <c r="D30" i="48"/>
  <c r="D33" i="48"/>
  <c r="D35" i="48"/>
  <c r="D38" i="48"/>
  <c r="D40" i="48"/>
  <c r="F14" i="48"/>
  <c r="E16" i="48"/>
  <c r="C18" i="48"/>
  <c r="C21" i="48"/>
  <c r="E27" i="48"/>
  <c r="E30" i="48"/>
  <c r="E33" i="48"/>
  <c r="E35" i="48"/>
  <c r="E38" i="48"/>
  <c r="E40" i="48"/>
  <c r="F16" i="48"/>
  <c r="D18" i="48"/>
  <c r="D21" i="48"/>
  <c r="C23" i="48"/>
  <c r="F27" i="48"/>
  <c r="F30" i="48"/>
  <c r="F33" i="48"/>
  <c r="F35" i="48"/>
  <c r="F38" i="48"/>
  <c r="F40" i="48"/>
  <c r="AG11" i="48"/>
  <c r="AF12" i="48"/>
  <c r="C10" i="48"/>
  <c r="D10" i="48"/>
  <c r="E18" i="48"/>
  <c r="E21" i="48"/>
  <c r="C29" i="48"/>
  <c r="C31" i="48"/>
  <c r="C34" i="48"/>
  <c r="C37" i="48"/>
  <c r="AG12" i="50" l="1"/>
  <c r="AH12" i="50"/>
  <c r="AI12" i="50" s="1"/>
  <c r="AF13" i="50"/>
  <c r="AH13" i="49"/>
  <c r="AI13" i="49" s="1"/>
  <c r="AF14" i="49"/>
  <c r="AG13" i="49"/>
  <c r="AH12" i="48"/>
  <c r="AI12" i="48" s="1"/>
  <c r="AF13" i="48"/>
  <c r="AG12" i="48"/>
  <c r="AH13" i="50" l="1"/>
  <c r="AI13" i="50" s="1"/>
  <c r="AF14" i="50"/>
  <c r="AG13" i="50"/>
  <c r="AH14" i="49"/>
  <c r="AI14" i="49" s="1"/>
  <c r="AG14" i="49"/>
  <c r="AH13" i="48"/>
  <c r="AI13" i="48" s="1"/>
  <c r="AF14" i="48"/>
  <c r="AG13" i="48"/>
  <c r="AH14" i="50" l="1"/>
  <c r="AI14" i="50" s="1"/>
  <c r="AG14" i="50"/>
  <c r="AG14" i="48"/>
  <c r="AH14" i="48"/>
  <c r="AI14" i="48" s="1"/>
  <c r="AF6" i="42" l="1"/>
  <c r="AF4" i="42"/>
  <c r="D36" i="12" l="1"/>
  <c r="D37" i="12"/>
  <c r="D38" i="12"/>
  <c r="D39" i="12"/>
  <c r="D40" i="12"/>
  <c r="D41" i="12"/>
  <c r="D35" i="12"/>
  <c r="C36" i="12"/>
  <c r="C37" i="12"/>
  <c r="C38" i="12"/>
  <c r="C39" i="12"/>
  <c r="C40" i="12"/>
  <c r="C41" i="12"/>
  <c r="C35" i="12"/>
  <c r="AH55" i="47"/>
  <c r="AI55" i="47" s="1"/>
  <c r="AG55" i="47"/>
  <c r="AH54" i="47"/>
  <c r="AI54" i="47" s="1"/>
  <c r="AG54" i="47"/>
  <c r="AI53" i="47"/>
  <c r="AH53" i="47"/>
  <c r="AG53" i="47"/>
  <c r="AH52" i="47"/>
  <c r="AG52" i="47"/>
  <c r="AH51" i="47"/>
  <c r="AI52" i="47" s="1"/>
  <c r="AG51" i="47"/>
  <c r="AI50" i="47"/>
  <c r="AH50" i="47"/>
  <c r="AG50" i="47"/>
  <c r="AH49" i="47"/>
  <c r="AG49" i="47"/>
  <c r="AH48" i="47"/>
  <c r="AI48" i="47" s="1"/>
  <c r="AG48" i="47"/>
  <c r="AH47" i="47"/>
  <c r="AI47" i="47" s="1"/>
  <c r="AG47" i="47"/>
  <c r="AH46" i="47"/>
  <c r="AI46" i="47" s="1"/>
  <c r="AG46" i="47"/>
  <c r="AH45" i="47"/>
  <c r="AI45" i="47" s="1"/>
  <c r="AG45" i="47"/>
  <c r="AH44" i="47"/>
  <c r="AG44" i="47"/>
  <c r="AH43" i="47"/>
  <c r="AI44" i="47" s="1"/>
  <c r="AG43" i="47"/>
  <c r="AI42" i="47"/>
  <c r="AH42" i="47"/>
  <c r="AG42" i="47"/>
  <c r="AH41" i="47"/>
  <c r="K24" i="47"/>
  <c r="K22" i="47"/>
  <c r="K17" i="47"/>
  <c r="K16" i="47"/>
  <c r="AE14" i="47"/>
  <c r="AE13" i="47"/>
  <c r="AE12" i="47"/>
  <c r="AF11" i="47"/>
  <c r="AF12" i="47" s="1"/>
  <c r="AE11" i="47"/>
  <c r="AH10" i="47"/>
  <c r="K9" i="47"/>
  <c r="H8" i="3"/>
  <c r="AI55" i="46"/>
  <c r="AH55" i="46"/>
  <c r="AG55" i="46"/>
  <c r="AH54" i="46"/>
  <c r="AI54" i="46" s="1"/>
  <c r="AG54" i="46"/>
  <c r="AI53" i="46"/>
  <c r="AH53" i="46"/>
  <c r="AG53" i="46"/>
  <c r="AH52" i="46"/>
  <c r="AG52" i="46"/>
  <c r="AH51" i="46"/>
  <c r="AI52" i="46" s="1"/>
  <c r="AG51" i="46"/>
  <c r="AH50" i="46"/>
  <c r="AI50" i="46" s="1"/>
  <c r="AG50" i="46"/>
  <c r="AH49" i="46"/>
  <c r="AI49" i="46" s="1"/>
  <c r="AG49" i="46"/>
  <c r="AH48" i="46"/>
  <c r="AI48" i="46" s="1"/>
  <c r="AG48" i="46"/>
  <c r="AI47" i="46"/>
  <c r="AH47" i="46"/>
  <c r="AG47" i="46"/>
  <c r="AH46" i="46"/>
  <c r="AI46" i="46" s="1"/>
  <c r="AG46" i="46"/>
  <c r="AI45" i="46"/>
  <c r="AH45" i="46"/>
  <c r="AG45" i="46"/>
  <c r="AH44" i="46"/>
  <c r="AG44" i="46"/>
  <c r="AH43" i="46"/>
  <c r="AI44" i="46" s="1"/>
  <c r="AG43" i="46"/>
  <c r="AI42" i="46"/>
  <c r="AH42" i="46"/>
  <c r="AG42" i="46"/>
  <c r="AH41" i="46"/>
  <c r="K24" i="46"/>
  <c r="K22" i="46"/>
  <c r="K17" i="46"/>
  <c r="K16" i="46"/>
  <c r="AE14" i="46"/>
  <c r="AE13" i="46"/>
  <c r="AE12" i="46"/>
  <c r="AF11" i="46"/>
  <c r="AG11" i="46" s="1"/>
  <c r="AE11" i="46"/>
  <c r="AH10" i="46"/>
  <c r="K9" i="46"/>
  <c r="C14" i="47" l="1"/>
  <c r="E17" i="47"/>
  <c r="E12" i="47"/>
  <c r="F22" i="47"/>
  <c r="D20" i="47"/>
  <c r="D13" i="47"/>
  <c r="D22" i="47"/>
  <c r="E39" i="47"/>
  <c r="F23" i="47"/>
  <c r="D39" i="47"/>
  <c r="AH12" i="47"/>
  <c r="AF13" i="47"/>
  <c r="AG12" i="47"/>
  <c r="F29" i="47"/>
  <c r="F31" i="47"/>
  <c r="F34" i="47"/>
  <c r="F37" i="47"/>
  <c r="F39" i="47"/>
  <c r="F16" i="47"/>
  <c r="D18" i="47"/>
  <c r="D21" i="47"/>
  <c r="C23" i="47"/>
  <c r="F27" i="47"/>
  <c r="F30" i="47"/>
  <c r="F33" i="47"/>
  <c r="F35" i="47"/>
  <c r="F38" i="47"/>
  <c r="F40" i="47"/>
  <c r="F14" i="47"/>
  <c r="E16" i="47"/>
  <c r="C18" i="47"/>
  <c r="C21" i="47"/>
  <c r="E27" i="47"/>
  <c r="E30" i="47"/>
  <c r="E33" i="47"/>
  <c r="E35" i="47"/>
  <c r="E38" i="47"/>
  <c r="E40" i="47"/>
  <c r="AI43" i="47"/>
  <c r="AI51" i="47"/>
  <c r="C10" i="47"/>
  <c r="AH11" i="47"/>
  <c r="AI11" i="47" s="1"/>
  <c r="D10" i="47"/>
  <c r="E18" i="47"/>
  <c r="E21" i="47"/>
  <c r="D23" i="47"/>
  <c r="C29" i="47"/>
  <c r="C31" i="47"/>
  <c r="C34" i="47"/>
  <c r="C37" i="47"/>
  <c r="C39" i="47"/>
  <c r="AI49" i="47"/>
  <c r="F12" i="47"/>
  <c r="E13" i="47"/>
  <c r="D14" i="47"/>
  <c r="C16" i="47"/>
  <c r="F17" i="47"/>
  <c r="E20" i="47"/>
  <c r="E22" i="47"/>
  <c r="C27" i="47"/>
  <c r="C30" i="47"/>
  <c r="C33" i="47"/>
  <c r="C35" i="47"/>
  <c r="C38" i="47"/>
  <c r="C40" i="47"/>
  <c r="F13" i="47"/>
  <c r="E14" i="47"/>
  <c r="D16" i="47"/>
  <c r="F20" i="47"/>
  <c r="D27" i="47"/>
  <c r="D30" i="47"/>
  <c r="D33" i="47"/>
  <c r="D35" i="47"/>
  <c r="D38" i="47"/>
  <c r="D40" i="47"/>
  <c r="AG11" i="47"/>
  <c r="E10" i="47"/>
  <c r="C12" i="47"/>
  <c r="C17" i="47"/>
  <c r="F18" i="47"/>
  <c r="F21" i="47"/>
  <c r="E23" i="47"/>
  <c r="D29" i="47"/>
  <c r="D31" i="47"/>
  <c r="D34" i="47"/>
  <c r="D37" i="47"/>
  <c r="F10" i="47"/>
  <c r="D12" i="47"/>
  <c r="C13" i="47"/>
  <c r="D17" i="47"/>
  <c r="C20" i="47"/>
  <c r="C22" i="47"/>
  <c r="E29" i="47"/>
  <c r="E31" i="47"/>
  <c r="E34" i="47"/>
  <c r="E37" i="47"/>
  <c r="D38" i="46"/>
  <c r="C16" i="46"/>
  <c r="C27" i="46"/>
  <c r="C30" i="46"/>
  <c r="F12" i="46"/>
  <c r="F17" i="46"/>
  <c r="C33" i="46"/>
  <c r="C35" i="46"/>
  <c r="E13" i="46"/>
  <c r="E20" i="46"/>
  <c r="C38" i="46"/>
  <c r="E22" i="46"/>
  <c r="C40" i="46"/>
  <c r="F23" i="46"/>
  <c r="D14" i="46"/>
  <c r="D39" i="46"/>
  <c r="E39" i="46"/>
  <c r="F22" i="46"/>
  <c r="D30" i="46"/>
  <c r="D35" i="46"/>
  <c r="D40" i="46"/>
  <c r="AF12" i="46"/>
  <c r="E12" i="46"/>
  <c r="D13" i="46"/>
  <c r="C14" i="46"/>
  <c r="E17" i="46"/>
  <c r="D20" i="46"/>
  <c r="D22" i="46"/>
  <c r="F29" i="46"/>
  <c r="F31" i="46"/>
  <c r="F34" i="46"/>
  <c r="F37" i="46"/>
  <c r="F39" i="46"/>
  <c r="F16" i="46"/>
  <c r="D18" i="46"/>
  <c r="D21" i="46"/>
  <c r="C23" i="46"/>
  <c r="F27" i="46"/>
  <c r="F30" i="46"/>
  <c r="F33" i="46"/>
  <c r="F35" i="46"/>
  <c r="F38" i="46"/>
  <c r="F40" i="46"/>
  <c r="D10" i="46"/>
  <c r="E18" i="46"/>
  <c r="E21" i="46"/>
  <c r="D23" i="46"/>
  <c r="C29" i="46"/>
  <c r="C31" i="46"/>
  <c r="C34" i="46"/>
  <c r="C37" i="46"/>
  <c r="C39" i="46"/>
  <c r="F14" i="46"/>
  <c r="E16" i="46"/>
  <c r="C18" i="46"/>
  <c r="C21" i="46"/>
  <c r="E27" i="46"/>
  <c r="E30" i="46"/>
  <c r="E33" i="46"/>
  <c r="E35" i="46"/>
  <c r="E38" i="46"/>
  <c r="E40" i="46"/>
  <c r="AI43" i="46"/>
  <c r="AI51" i="46"/>
  <c r="C10" i="46"/>
  <c r="AH11" i="46"/>
  <c r="AI11" i="46" s="1"/>
  <c r="E10" i="46"/>
  <c r="C12" i="46"/>
  <c r="C17" i="46"/>
  <c r="F18" i="46"/>
  <c r="F21" i="46"/>
  <c r="E23" i="46"/>
  <c r="D29" i="46"/>
  <c r="D31" i="46"/>
  <c r="D34" i="46"/>
  <c r="D37" i="46"/>
  <c r="F13" i="46"/>
  <c r="E14" i="46"/>
  <c r="D16" i="46"/>
  <c r="F20" i="46"/>
  <c r="D27" i="46"/>
  <c r="D33" i="46"/>
  <c r="F10" i="46"/>
  <c r="D12" i="46"/>
  <c r="C13" i="46"/>
  <c r="D17" i="46"/>
  <c r="C20" i="46"/>
  <c r="C22" i="46"/>
  <c r="E29" i="46"/>
  <c r="E31" i="46"/>
  <c r="E34" i="46"/>
  <c r="E37" i="46"/>
  <c r="AH13" i="47" l="1"/>
  <c r="AI13" i="47" s="1"/>
  <c r="AF14" i="47"/>
  <c r="AG13" i="47"/>
  <c r="AI12" i="47"/>
  <c r="AF13" i="46"/>
  <c r="AG12" i="46"/>
  <c r="AH12" i="46"/>
  <c r="AI12" i="46" s="1"/>
  <c r="AH14" i="47" l="1"/>
  <c r="AI14" i="47" s="1"/>
  <c r="AG14" i="47"/>
  <c r="AH13" i="46"/>
  <c r="AI13" i="46" s="1"/>
  <c r="AF14" i="46"/>
  <c r="AG13" i="46"/>
  <c r="AH14" i="46" l="1"/>
  <c r="AI14" i="46" s="1"/>
  <c r="AG14" i="46"/>
  <c r="AH55" i="44" l="1"/>
  <c r="AI55" i="44" s="1"/>
  <c r="AG55" i="44"/>
  <c r="AH54" i="44"/>
  <c r="AI54" i="44" s="1"/>
  <c r="AG54" i="44"/>
  <c r="AI53" i="44"/>
  <c r="AH53" i="44"/>
  <c r="AG53" i="44"/>
  <c r="AH52" i="44"/>
  <c r="AG52" i="44"/>
  <c r="AH51" i="44"/>
  <c r="AI51" i="44" s="1"/>
  <c r="AG51" i="44"/>
  <c r="AI50" i="44"/>
  <c r="AH50" i="44"/>
  <c r="AG50" i="44"/>
  <c r="AH49" i="44"/>
  <c r="AG49" i="44"/>
  <c r="AI48" i="44"/>
  <c r="AH48" i="44"/>
  <c r="AI49" i="44" s="1"/>
  <c r="AG48" i="44"/>
  <c r="AH47" i="44"/>
  <c r="AI47" i="44" s="1"/>
  <c r="AG47" i="44"/>
  <c r="AH46" i="44"/>
  <c r="AI46" i="44" s="1"/>
  <c r="AG46" i="44"/>
  <c r="AI45" i="44"/>
  <c r="AH45" i="44"/>
  <c r="AG45" i="44"/>
  <c r="AH44" i="44"/>
  <c r="AG44" i="44"/>
  <c r="AH43" i="44"/>
  <c r="AI43" i="44" s="1"/>
  <c r="AG43" i="44"/>
  <c r="AH42" i="44"/>
  <c r="AG42" i="44"/>
  <c r="AH41" i="44"/>
  <c r="AI42" i="44" s="1"/>
  <c r="K24" i="44"/>
  <c r="K22" i="44"/>
  <c r="K17" i="44"/>
  <c r="C17" i="44" s="1"/>
  <c r="K16" i="44"/>
  <c r="E14" i="44" s="1"/>
  <c r="C16" i="44"/>
  <c r="AE14" i="44"/>
  <c r="AE13" i="44"/>
  <c r="AE12" i="44"/>
  <c r="F12" i="44"/>
  <c r="AF11" i="44"/>
  <c r="AF12" i="44" s="1"/>
  <c r="AE11" i="44"/>
  <c r="AH10" i="44"/>
  <c r="K9" i="44"/>
  <c r="AH55" i="43"/>
  <c r="AI55" i="43" s="1"/>
  <c r="AG55" i="43"/>
  <c r="AH54" i="43"/>
  <c r="AI54" i="43" s="1"/>
  <c r="AG54" i="43"/>
  <c r="AH53" i="43"/>
  <c r="AI53" i="43" s="1"/>
  <c r="AG53" i="43"/>
  <c r="AI52" i="43"/>
  <c r="AH52" i="43"/>
  <c r="AG52" i="43"/>
  <c r="AH51" i="43"/>
  <c r="AI51" i="43" s="1"/>
  <c r="AG51" i="43"/>
  <c r="AI50" i="43"/>
  <c r="AH50" i="43"/>
  <c r="AG50" i="43"/>
  <c r="AH49" i="43"/>
  <c r="AG49" i="43"/>
  <c r="AH48" i="43"/>
  <c r="AI49" i="43" s="1"/>
  <c r="AG48" i="43"/>
  <c r="AH47" i="43"/>
  <c r="AI47" i="43" s="1"/>
  <c r="AG47" i="43"/>
  <c r="AH46" i="43"/>
  <c r="AI46" i="43" s="1"/>
  <c r="AG46" i="43"/>
  <c r="AH45" i="43"/>
  <c r="AI45" i="43" s="1"/>
  <c r="AG45" i="43"/>
  <c r="AI44" i="43"/>
  <c r="AH44" i="43"/>
  <c r="AG44" i="43"/>
  <c r="AH43" i="43"/>
  <c r="AI43" i="43" s="1"/>
  <c r="AG43" i="43"/>
  <c r="AI42" i="43"/>
  <c r="AH42" i="43"/>
  <c r="AG42" i="43"/>
  <c r="AH41" i="43"/>
  <c r="K24" i="43"/>
  <c r="K22" i="43"/>
  <c r="K17" i="43"/>
  <c r="K16" i="43"/>
  <c r="E39" i="43" s="1"/>
  <c r="AE14" i="43"/>
  <c r="AE13" i="43"/>
  <c r="AE12" i="43"/>
  <c r="AF11" i="43"/>
  <c r="AF12" i="43" s="1"/>
  <c r="AE11" i="43"/>
  <c r="AH10" i="43"/>
  <c r="K9" i="43"/>
  <c r="F17" i="44" l="1"/>
  <c r="E20" i="44"/>
  <c r="E13" i="44"/>
  <c r="F23" i="44"/>
  <c r="D14" i="44"/>
  <c r="E22" i="44"/>
  <c r="E39" i="44"/>
  <c r="AH12" i="44"/>
  <c r="AF13" i="44"/>
  <c r="AG12" i="44"/>
  <c r="D16" i="44"/>
  <c r="D27" i="44"/>
  <c r="D38" i="44"/>
  <c r="C12" i="44"/>
  <c r="F18" i="44"/>
  <c r="F21" i="44"/>
  <c r="E23" i="44"/>
  <c r="D29" i="44"/>
  <c r="D31" i="44"/>
  <c r="D34" i="44"/>
  <c r="D39" i="44"/>
  <c r="AI44" i="44"/>
  <c r="AI52" i="44"/>
  <c r="E12" i="44"/>
  <c r="D13" i="44"/>
  <c r="C14" i="44"/>
  <c r="E17" i="44"/>
  <c r="D20" i="44"/>
  <c r="D22" i="44"/>
  <c r="F29" i="44"/>
  <c r="F31" i="44"/>
  <c r="F34" i="44"/>
  <c r="F37" i="44"/>
  <c r="F39" i="44"/>
  <c r="C27" i="44"/>
  <c r="C30" i="44"/>
  <c r="C33" i="44"/>
  <c r="C35" i="44"/>
  <c r="C38" i="44"/>
  <c r="C40" i="44"/>
  <c r="F22" i="44"/>
  <c r="D40" i="44"/>
  <c r="E30" i="44"/>
  <c r="E38" i="44"/>
  <c r="C10" i="44"/>
  <c r="AH11" i="44"/>
  <c r="AI11" i="44" s="1"/>
  <c r="F16" i="44"/>
  <c r="D18" i="44"/>
  <c r="D21" i="44"/>
  <c r="C23" i="44"/>
  <c r="F27" i="44"/>
  <c r="F30" i="44"/>
  <c r="F33" i="44"/>
  <c r="F35" i="44"/>
  <c r="F38" i="44"/>
  <c r="F40" i="44"/>
  <c r="D30" i="44"/>
  <c r="D35" i="44"/>
  <c r="AG11" i="44"/>
  <c r="F14" i="44"/>
  <c r="E16" i="44"/>
  <c r="C18" i="44"/>
  <c r="C21" i="44"/>
  <c r="E27" i="44"/>
  <c r="E33" i="44"/>
  <c r="E35" i="44"/>
  <c r="E40" i="44"/>
  <c r="D10" i="44"/>
  <c r="E18" i="44"/>
  <c r="E21" i="44"/>
  <c r="D23" i="44"/>
  <c r="C29" i="44"/>
  <c r="C31" i="44"/>
  <c r="C34" i="44"/>
  <c r="C37" i="44"/>
  <c r="C39" i="44"/>
  <c r="D33" i="44"/>
  <c r="E10" i="44"/>
  <c r="D37" i="44"/>
  <c r="F13" i="44"/>
  <c r="F20" i="44"/>
  <c r="F10" i="44"/>
  <c r="D12" i="44"/>
  <c r="C13" i="44"/>
  <c r="D17" i="44"/>
  <c r="C20" i="44"/>
  <c r="C22" i="44"/>
  <c r="E29" i="44"/>
  <c r="E31" i="44"/>
  <c r="E34" i="44"/>
  <c r="E37" i="44"/>
  <c r="C40" i="43"/>
  <c r="E17" i="43"/>
  <c r="F23" i="43"/>
  <c r="E12" i="43"/>
  <c r="D20" i="43"/>
  <c r="D13" i="43"/>
  <c r="D22" i="43"/>
  <c r="C14" i="43"/>
  <c r="F40" i="43"/>
  <c r="AF13" i="43"/>
  <c r="AG12" i="43"/>
  <c r="AH12" i="43"/>
  <c r="F13" i="43"/>
  <c r="E14" i="43"/>
  <c r="D16" i="43"/>
  <c r="F20" i="43"/>
  <c r="F22" i="43"/>
  <c r="D27" i="43"/>
  <c r="D30" i="43"/>
  <c r="D33" i="43"/>
  <c r="D35" i="43"/>
  <c r="D38" i="43"/>
  <c r="D40" i="43"/>
  <c r="AI48" i="43"/>
  <c r="F14" i="43"/>
  <c r="E16" i="43"/>
  <c r="C18" i="43"/>
  <c r="C21" i="43"/>
  <c r="E27" i="43"/>
  <c r="E30" i="43"/>
  <c r="E33" i="43"/>
  <c r="E35" i="43"/>
  <c r="E38" i="43"/>
  <c r="E40" i="43"/>
  <c r="F16" i="43"/>
  <c r="D18" i="43"/>
  <c r="D21" i="43"/>
  <c r="C23" i="43"/>
  <c r="F27" i="43"/>
  <c r="F30" i="43"/>
  <c r="F33" i="43"/>
  <c r="F35" i="43"/>
  <c r="F38" i="43"/>
  <c r="F29" i="43"/>
  <c r="F31" i="43"/>
  <c r="F34" i="43"/>
  <c r="F37" i="43"/>
  <c r="F39" i="43"/>
  <c r="E13" i="43"/>
  <c r="C16" i="43"/>
  <c r="E22" i="43"/>
  <c r="C38" i="43"/>
  <c r="AH11" i="43"/>
  <c r="AI11" i="43" s="1"/>
  <c r="D10" i="43"/>
  <c r="E18" i="43"/>
  <c r="E21" i="43"/>
  <c r="D23" i="43"/>
  <c r="C29" i="43"/>
  <c r="C31" i="43"/>
  <c r="C34" i="43"/>
  <c r="C37" i="43"/>
  <c r="C39" i="43"/>
  <c r="F12" i="43"/>
  <c r="D14" i="43"/>
  <c r="F17" i="43"/>
  <c r="E20" i="43"/>
  <c r="C27" i="43"/>
  <c r="C33" i="43"/>
  <c r="C35" i="43"/>
  <c r="AG11" i="43"/>
  <c r="C10" i="43"/>
  <c r="E10" i="43"/>
  <c r="C12" i="43"/>
  <c r="C17" i="43"/>
  <c r="F18" i="43"/>
  <c r="F21" i="43"/>
  <c r="E23" i="43"/>
  <c r="D29" i="43"/>
  <c r="D31" i="43"/>
  <c r="D34" i="43"/>
  <c r="D37" i="43"/>
  <c r="D39" i="43"/>
  <c r="C30" i="43"/>
  <c r="F10" i="43"/>
  <c r="D12" i="43"/>
  <c r="C13" i="43"/>
  <c r="D17" i="43"/>
  <c r="C20" i="43"/>
  <c r="C22" i="43"/>
  <c r="E29" i="43"/>
  <c r="E31" i="43"/>
  <c r="E34" i="43"/>
  <c r="E37" i="43"/>
  <c r="AF14" i="44" l="1"/>
  <c r="AG13" i="44"/>
  <c r="AH13" i="44"/>
  <c r="AI13" i="44" s="1"/>
  <c r="AI12" i="44"/>
  <c r="AI12" i="43"/>
  <c r="AH13" i="43"/>
  <c r="AI13" i="43" s="1"/>
  <c r="AF14" i="43"/>
  <c r="AG13" i="43"/>
  <c r="AH14" i="44" l="1"/>
  <c r="AI14" i="44" s="1"/>
  <c r="AG14" i="44"/>
  <c r="AH14" i="43"/>
  <c r="AI14" i="43" s="1"/>
  <c r="AG14" i="43"/>
  <c r="AC29" i="42" l="1"/>
  <c r="Q29" i="42"/>
  <c r="P29" i="42"/>
  <c r="AE28" i="42"/>
  <c r="AD28" i="42"/>
  <c r="AC28" i="42"/>
  <c r="Q28" i="42"/>
  <c r="P28" i="42"/>
  <c r="AC26" i="42"/>
  <c r="Q26" i="42"/>
  <c r="P26" i="42"/>
  <c r="AE25" i="42"/>
  <c r="AD25" i="42"/>
  <c r="AC25" i="42"/>
  <c r="Q25" i="42"/>
  <c r="P25" i="42"/>
  <c r="AC23" i="42"/>
  <c r="Q23" i="42"/>
  <c r="P23" i="42"/>
  <c r="AE22" i="42"/>
  <c r="AD22" i="42"/>
  <c r="AC22" i="42"/>
  <c r="Q22" i="42"/>
  <c r="P22" i="42"/>
  <c r="AC20" i="42"/>
  <c r="Q20" i="42"/>
  <c r="P20" i="42"/>
  <c r="AE19" i="42"/>
  <c r="AD19" i="42"/>
  <c r="AC19" i="42"/>
  <c r="Q19" i="42"/>
  <c r="P19" i="42"/>
  <c r="AC17" i="42"/>
  <c r="Q17" i="42"/>
  <c r="P17" i="42"/>
  <c r="AE16" i="42"/>
  <c r="AD16" i="42"/>
  <c r="AC16" i="42"/>
  <c r="Q16" i="42"/>
  <c r="P16" i="42"/>
  <c r="AC14" i="42"/>
  <c r="Q14" i="42"/>
  <c r="P14" i="42"/>
  <c r="AE13" i="42"/>
  <c r="AD13" i="42"/>
  <c r="Q13" i="42"/>
  <c r="P13" i="42"/>
  <c r="AC11" i="42"/>
  <c r="Q11" i="42"/>
  <c r="P11" i="42"/>
  <c r="AE10" i="42"/>
  <c r="AD10" i="42"/>
  <c r="AC10" i="42"/>
  <c r="Q10" i="42"/>
  <c r="P10" i="42"/>
  <c r="E5" i="42"/>
  <c r="E3" i="42"/>
  <c r="F26" i="42" l="1"/>
  <c r="H26" i="42" s="1"/>
  <c r="G28" i="42"/>
  <c r="I28" i="42" s="1"/>
  <c r="G25" i="42"/>
  <c r="I25" i="42" s="1"/>
  <c r="F28" i="42"/>
  <c r="H28" i="42" s="1"/>
  <c r="F22" i="42"/>
  <c r="H22" i="42" s="1"/>
  <c r="G22" i="42"/>
  <c r="I22" i="42" s="1"/>
  <c r="F25" i="42"/>
  <c r="H25" i="42" s="1"/>
  <c r="G26" i="42"/>
  <c r="I26" i="42" s="1"/>
  <c r="F29" i="42"/>
  <c r="H29" i="42" s="1"/>
  <c r="G29" i="42"/>
  <c r="I29" i="42" s="1"/>
  <c r="F23" i="42"/>
  <c r="H23" i="42" s="1"/>
  <c r="G23" i="42"/>
  <c r="I23" i="42" s="1"/>
  <c r="X46" i="26"/>
  <c r="W46" i="26"/>
  <c r="X43" i="26"/>
  <c r="W43" i="26"/>
  <c r="L35" i="40"/>
  <c r="L34" i="40"/>
  <c r="M33" i="40"/>
  <c r="L33" i="40"/>
  <c r="M32" i="40"/>
  <c r="L32" i="40"/>
  <c r="O16" i="2" l="1"/>
  <c r="D32" i="2"/>
  <c r="D33" i="2"/>
  <c r="D34" i="2"/>
  <c r="D35" i="2"/>
  <c r="D36" i="2"/>
  <c r="D31" i="2"/>
  <c r="D22" i="2"/>
  <c r="D23" i="2"/>
  <c r="D24" i="2"/>
  <c r="D25" i="2"/>
  <c r="D26" i="2"/>
  <c r="D27" i="2"/>
  <c r="D21" i="2"/>
  <c r="L35" i="34" l="1"/>
  <c r="L34" i="34"/>
  <c r="M33" i="34"/>
  <c r="L33" i="34"/>
  <c r="M32" i="34"/>
  <c r="L32" i="34"/>
  <c r="O16" i="33"/>
  <c r="H20" i="33"/>
  <c r="S25" i="33"/>
  <c r="O20" i="33"/>
  <c r="N20" i="33"/>
  <c r="H19" i="33"/>
  <c r="N16" i="33"/>
  <c r="H14" i="33"/>
  <c r="J14" i="33" s="1"/>
  <c r="H13" i="33"/>
  <c r="J13" i="33" s="1"/>
  <c r="H27" i="33" s="1"/>
  <c r="O9" i="33"/>
  <c r="O11" i="33" s="1"/>
  <c r="O13" i="33" s="1"/>
  <c r="O15" i="33" s="1"/>
  <c r="O17" i="33" s="1"/>
  <c r="N9" i="33"/>
  <c r="N11" i="33" s="1"/>
  <c r="N13" i="33" s="1"/>
  <c r="N15" i="33" s="1"/>
  <c r="N17" i="33" s="1"/>
  <c r="H6" i="33"/>
  <c r="H5" i="33"/>
  <c r="X40" i="26"/>
  <c r="W40" i="26"/>
  <c r="X37" i="26"/>
  <c r="W37" i="26"/>
  <c r="X34" i="26"/>
  <c r="W34" i="26"/>
  <c r="X31" i="26"/>
  <c r="W31" i="26"/>
  <c r="Q17" i="33" l="1"/>
  <c r="N21" i="33"/>
  <c r="H15" i="33"/>
  <c r="H24" i="33" s="1"/>
  <c r="O21" i="33"/>
  <c r="H16" i="33"/>
  <c r="H25" i="33" s="1"/>
  <c r="H28" i="33" s="1"/>
  <c r="H30" i="33" s="1"/>
  <c r="H32" i="33" s="1"/>
  <c r="U20" i="26"/>
  <c r="T20" i="26"/>
  <c r="U19" i="26"/>
  <c r="T19" i="26"/>
  <c r="X28" i="26"/>
  <c r="AD13" i="26"/>
  <c r="AD12" i="26"/>
  <c r="W28" i="26"/>
  <c r="X22" i="26"/>
  <c r="W22" i="26"/>
  <c r="X16" i="26"/>
  <c r="W16" i="26"/>
  <c r="H6" i="2"/>
  <c r="H20" i="2"/>
  <c r="E12" i="12"/>
  <c r="E13" i="12"/>
  <c r="E14" i="12"/>
  <c r="E15" i="12"/>
  <c r="E16" i="12"/>
  <c r="E17" i="12"/>
  <c r="E11" i="12"/>
  <c r="I8" i="12"/>
  <c r="H19" i="2"/>
  <c r="S25" i="2"/>
  <c r="D21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Q21" i="28"/>
  <c r="R21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D24" i="28"/>
  <c r="E24" i="28"/>
  <c r="F24" i="28"/>
  <c r="G24" i="28"/>
  <c r="H24" i="28"/>
  <c r="I24" i="28"/>
  <c r="J24" i="28"/>
  <c r="K24" i="28"/>
  <c r="L24" i="28"/>
  <c r="M24" i="28"/>
  <c r="N24" i="28"/>
  <c r="O24" i="28"/>
  <c r="P24" i="28"/>
  <c r="Q24" i="28"/>
  <c r="R24" i="28"/>
  <c r="D25" i="28"/>
  <c r="E25" i="28"/>
  <c r="F25" i="28"/>
  <c r="G25" i="28"/>
  <c r="H25" i="28"/>
  <c r="I25" i="28"/>
  <c r="J25" i="28"/>
  <c r="K25" i="28"/>
  <c r="L25" i="28"/>
  <c r="M25" i="28"/>
  <c r="N25" i="28"/>
  <c r="O25" i="28"/>
  <c r="P25" i="28"/>
  <c r="Q25" i="28"/>
  <c r="R25" i="28"/>
  <c r="D26" i="28"/>
  <c r="E26" i="28"/>
  <c r="F26" i="28"/>
  <c r="G26" i="28"/>
  <c r="H26" i="28"/>
  <c r="I26" i="28"/>
  <c r="J26" i="28"/>
  <c r="K26" i="28"/>
  <c r="L26" i="28"/>
  <c r="M26" i="28"/>
  <c r="N26" i="28"/>
  <c r="O26" i="28"/>
  <c r="P26" i="28"/>
  <c r="Q26" i="28"/>
  <c r="R26" i="28"/>
  <c r="C22" i="28"/>
  <c r="C23" i="28"/>
  <c r="C24" i="28"/>
  <c r="C25" i="28"/>
  <c r="C26" i="28"/>
  <c r="C21" i="28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N25" i="33" l="1"/>
  <c r="N23" i="33"/>
  <c r="K27" i="33"/>
  <c r="AD14" i="26"/>
  <c r="W19" i="26"/>
  <c r="X19" i="26"/>
  <c r="J28" i="31"/>
  <c r="I28" i="31"/>
  <c r="H28" i="31"/>
  <c r="G28" i="31"/>
  <c r="D28" i="31"/>
  <c r="D31" i="31"/>
  <c r="C31" i="31"/>
  <c r="C30" i="31"/>
  <c r="C28" i="31"/>
  <c r="C27" i="31"/>
  <c r="M8" i="31"/>
  <c r="M7" i="31"/>
  <c r="C21" i="31" a="1"/>
  <c r="C21" i="31" s="1"/>
  <c r="G21" i="31" s="1"/>
  <c r="C24" i="31" a="1"/>
  <c r="C24" i="31" s="1"/>
  <c r="C23" i="31" a="1"/>
  <c r="C23" i="31" s="1"/>
  <c r="G23" i="31" s="1"/>
  <c r="C22" i="31" a="1"/>
  <c r="C22" i="31" s="1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X13" i="26"/>
  <c r="W13" i="26"/>
  <c r="AH43" i="20"/>
  <c r="M33" i="1"/>
  <c r="M32" i="1"/>
  <c r="L33" i="1"/>
  <c r="L32" i="1"/>
  <c r="L34" i="1"/>
  <c r="C32" i="1"/>
  <c r="L35" i="1"/>
  <c r="C33" i="1"/>
  <c r="F35" i="1"/>
  <c r="H23" i="31" l="1"/>
  <c r="H21" i="31"/>
  <c r="W10" i="26"/>
  <c r="O20" i="2"/>
  <c r="N20" i="2"/>
  <c r="N16" i="2"/>
  <c r="H14" i="2"/>
  <c r="J14" i="2" s="1"/>
  <c r="H13" i="2"/>
  <c r="J13" i="2" s="1"/>
  <c r="O9" i="2"/>
  <c r="O11" i="2" s="1"/>
  <c r="O13" i="2" s="1"/>
  <c r="O15" i="2" s="1"/>
  <c r="O17" i="2" s="1"/>
  <c r="N9" i="2"/>
  <c r="N11" i="2" s="1"/>
  <c r="N13" i="2" s="1"/>
  <c r="N15" i="2" s="1"/>
  <c r="N17" i="2" s="1"/>
  <c r="H5" i="2"/>
  <c r="O21" i="2" l="1"/>
  <c r="H16" i="2"/>
  <c r="H25" i="2" s="1"/>
  <c r="H28" i="2" s="1"/>
  <c r="N21" i="2"/>
  <c r="H15" i="2"/>
  <c r="H24" i="2" s="1"/>
  <c r="H27" i="2" s="1"/>
  <c r="X10" i="26"/>
  <c r="E5" i="26"/>
  <c r="E3" i="26"/>
  <c r="F44" i="26" l="1"/>
  <c r="F47" i="26"/>
  <c r="G44" i="26"/>
  <c r="G47" i="26"/>
  <c r="F40" i="26"/>
  <c r="F46" i="26"/>
  <c r="G46" i="26"/>
  <c r="G43" i="26"/>
  <c r="F43" i="26"/>
  <c r="F34" i="26"/>
  <c r="G31" i="26"/>
  <c r="F31" i="26"/>
  <c r="G34" i="26"/>
  <c r="G37" i="26"/>
  <c r="F37" i="26"/>
  <c r="G40" i="26"/>
  <c r="G41" i="26"/>
  <c r="F41" i="26"/>
  <c r="G32" i="26"/>
  <c r="F32" i="26"/>
  <c r="G35" i="26"/>
  <c r="F35" i="26"/>
  <c r="G38" i="26"/>
  <c r="F38" i="26"/>
  <c r="F23" i="26"/>
  <c r="F29" i="26"/>
  <c r="G23" i="26"/>
  <c r="G29" i="26"/>
  <c r="F28" i="26"/>
  <c r="G22" i="26"/>
  <c r="F22" i="26"/>
  <c r="G28" i="26"/>
  <c r="G17" i="26"/>
  <c r="F17" i="26"/>
  <c r="G16" i="26"/>
  <c r="F16" i="26"/>
  <c r="F13" i="26"/>
  <c r="G13" i="26"/>
  <c r="F14" i="26"/>
  <c r="G14" i="26"/>
  <c r="K27" i="2"/>
  <c r="H30" i="2"/>
  <c r="H32" i="2" s="1"/>
  <c r="N25" i="2"/>
  <c r="N23" i="2"/>
  <c r="G10" i="26"/>
  <c r="F10" i="26"/>
  <c r="F11" i="26"/>
  <c r="G11" i="26"/>
  <c r="C14" i="5" l="1"/>
  <c r="I14" i="5" s="1"/>
  <c r="G7" i="5"/>
  <c r="H7" i="5" s="1"/>
  <c r="C13" i="5"/>
  <c r="I13" i="5" s="1"/>
  <c r="C12" i="5"/>
  <c r="C11" i="5"/>
  <c r="F6" i="5"/>
  <c r="H6" i="5"/>
  <c r="I6" i="5"/>
  <c r="F7" i="5"/>
  <c r="F8" i="5"/>
  <c r="H8" i="5"/>
  <c r="I8" i="5"/>
  <c r="F5" i="5"/>
  <c r="I5" i="5"/>
  <c r="H5" i="5"/>
  <c r="H11" i="5" l="1"/>
  <c r="I11" i="5"/>
  <c r="H12" i="5"/>
  <c r="I12" i="5"/>
  <c r="G13" i="5"/>
  <c r="I7" i="5"/>
  <c r="H14" i="5"/>
  <c r="G11" i="5"/>
  <c r="G14" i="5"/>
  <c r="G12" i="5"/>
  <c r="H13" i="5"/>
  <c r="AC22" i="15"/>
  <c r="AB22" i="15"/>
  <c r="AC21" i="15"/>
  <c r="AB21" i="15"/>
  <c r="AF22" i="15"/>
  <c r="AE22" i="15"/>
  <c r="AF21" i="15"/>
  <c r="AE21" i="15"/>
  <c r="AF18" i="15"/>
  <c r="AE18" i="15"/>
  <c r="AF19" i="15"/>
  <c r="AE19" i="15"/>
  <c r="AB18" i="15"/>
  <c r="AB19" i="15"/>
  <c r="AC18" i="15"/>
  <c r="AC19" i="15"/>
  <c r="AC20" i="15"/>
  <c r="AB20" i="15"/>
  <c r="AE20" i="15"/>
  <c r="AF20" i="15"/>
  <c r="C58" i="15" a="1"/>
  <c r="C58" i="15" s="1"/>
  <c r="C57" i="15" a="1"/>
  <c r="C57" i="15" s="1"/>
  <c r="U39" i="7" l="1"/>
  <c r="U23" i="7" s="1"/>
  <c r="U15" i="7" s="1"/>
  <c r="V39" i="7"/>
  <c r="V23" i="7" s="1"/>
  <c r="W39" i="7"/>
  <c r="X39" i="7"/>
  <c r="Y39" i="7"/>
  <c r="Z39" i="7"/>
  <c r="Z23" i="7" s="1"/>
  <c r="AA39" i="7"/>
  <c r="AA23" i="7" s="1"/>
  <c r="AA15" i="7" s="1"/>
  <c r="U40" i="7"/>
  <c r="U24" i="7" s="1"/>
  <c r="V40" i="7"/>
  <c r="V24" i="7" s="1"/>
  <c r="W40" i="7"/>
  <c r="W24" i="7" s="1"/>
  <c r="X40" i="7"/>
  <c r="X24" i="7" s="1"/>
  <c r="Y40" i="7"/>
  <c r="Z40" i="7"/>
  <c r="Z24" i="7" s="1"/>
  <c r="Z16" i="7" s="1"/>
  <c r="AA40" i="7"/>
  <c r="AA24" i="7" s="1"/>
  <c r="U41" i="7"/>
  <c r="U25" i="7" s="1"/>
  <c r="U17" i="7" s="1"/>
  <c r="V41" i="7"/>
  <c r="V25" i="7" s="1"/>
  <c r="W41" i="7"/>
  <c r="W25" i="7" s="1"/>
  <c r="X41" i="7"/>
  <c r="X25" i="7" s="1"/>
  <c r="Y41" i="7"/>
  <c r="Y25" i="7" s="1"/>
  <c r="Z41" i="7"/>
  <c r="Z25" i="7" s="1"/>
  <c r="AA41" i="7"/>
  <c r="AA25" i="7" s="1"/>
  <c r="U42" i="7"/>
  <c r="U26" i="7" s="1"/>
  <c r="V42" i="7"/>
  <c r="V26" i="7" s="1"/>
  <c r="V18" i="7" s="1"/>
  <c r="W42" i="7"/>
  <c r="W26" i="7" s="1"/>
  <c r="X42" i="7"/>
  <c r="X26" i="7" s="1"/>
  <c r="Y42" i="7"/>
  <c r="Y26" i="7" s="1"/>
  <c r="Y18" i="7" s="1"/>
  <c r="Z42" i="7"/>
  <c r="AA42" i="7"/>
  <c r="AA26" i="7" s="1"/>
  <c r="V38" i="7"/>
  <c r="V22" i="7" s="1"/>
  <c r="W38" i="7"/>
  <c r="W22" i="7" s="1"/>
  <c r="X38" i="7"/>
  <c r="X22" i="7" s="1"/>
  <c r="Y38" i="7"/>
  <c r="Y22" i="7" s="1"/>
  <c r="Z38" i="7"/>
  <c r="Z22" i="7" s="1"/>
  <c r="AA38" i="7"/>
  <c r="AA22" i="7" s="1"/>
  <c r="U38" i="7"/>
  <c r="U22" i="7" s="1"/>
  <c r="U14" i="7" s="1"/>
  <c r="U7" i="7"/>
  <c r="V7" i="7"/>
  <c r="W7" i="7"/>
  <c r="X7" i="7"/>
  <c r="Y7" i="7"/>
  <c r="Z7" i="7"/>
  <c r="AA7" i="7"/>
  <c r="U8" i="7"/>
  <c r="V8" i="7"/>
  <c r="W8" i="7"/>
  <c r="X8" i="7"/>
  <c r="Y8" i="7"/>
  <c r="Z8" i="7"/>
  <c r="AA8" i="7"/>
  <c r="U9" i="7"/>
  <c r="V9" i="7"/>
  <c r="W9" i="7"/>
  <c r="X9" i="7"/>
  <c r="Y9" i="7"/>
  <c r="Z9" i="7"/>
  <c r="AA9" i="7"/>
  <c r="U10" i="7"/>
  <c r="V10" i="7"/>
  <c r="W10" i="7"/>
  <c r="X10" i="7"/>
  <c r="Y10" i="7"/>
  <c r="Z10" i="7"/>
  <c r="AA10" i="7"/>
  <c r="V6" i="7"/>
  <c r="W6" i="7"/>
  <c r="X6" i="7"/>
  <c r="Y6" i="7"/>
  <c r="Z6" i="7"/>
  <c r="AA6" i="7"/>
  <c r="U6" i="7"/>
  <c r="W23" i="7"/>
  <c r="X23" i="7"/>
  <c r="Y23" i="7"/>
  <c r="Y15" i="7" s="1"/>
  <c r="Y24" i="7"/>
  <c r="Y16" i="7" s="1"/>
  <c r="Z26" i="7"/>
  <c r="Z18" i="7" s="1"/>
  <c r="AD5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AA17" i="12"/>
  <c r="AA15" i="12"/>
  <c r="AA13" i="12"/>
  <c r="AA11" i="12"/>
  <c r="AA9" i="12"/>
  <c r="AA7" i="12"/>
  <c r="AA5" i="12"/>
  <c r="AA16" i="12"/>
  <c r="AA14" i="12"/>
  <c r="AA12" i="12"/>
  <c r="AA10" i="12"/>
  <c r="AA8" i="12"/>
  <c r="Z17" i="7" l="1"/>
  <c r="AA16" i="7"/>
  <c r="AA17" i="7"/>
  <c r="Y17" i="7"/>
  <c r="W15" i="7"/>
  <c r="X15" i="7"/>
  <c r="AA18" i="7"/>
  <c r="X16" i="7"/>
  <c r="U18" i="7"/>
  <c r="Z15" i="7"/>
  <c r="W18" i="7"/>
  <c r="V17" i="7"/>
  <c r="U16" i="7"/>
  <c r="X17" i="7"/>
  <c r="W16" i="7"/>
  <c r="V15" i="7"/>
  <c r="X18" i="7"/>
  <c r="W17" i="7"/>
  <c r="V16" i="7"/>
  <c r="Y14" i="7"/>
  <c r="Z14" i="7"/>
  <c r="AA14" i="7"/>
  <c r="V14" i="7"/>
  <c r="X14" i="7"/>
  <c r="W14" i="7"/>
  <c r="C68" i="15" l="1"/>
  <c r="C64" i="15"/>
  <c r="D14" i="21" l="1"/>
  <c r="D15" i="21"/>
  <c r="K15" i="21" s="1"/>
  <c r="D16" i="21"/>
  <c r="K16" i="21" s="1"/>
  <c r="D17" i="21"/>
  <c r="K14" i="21"/>
  <c r="D13" i="21"/>
  <c r="K13" i="21" s="1"/>
  <c r="D12" i="21"/>
  <c r="K12" i="21" s="1"/>
  <c r="D11" i="21"/>
  <c r="K11" i="21" s="1"/>
  <c r="K17" i="21"/>
  <c r="F17" i="21"/>
  <c r="I17" i="21" s="1"/>
  <c r="F16" i="21"/>
  <c r="I16" i="21" s="1"/>
  <c r="F15" i="21"/>
  <c r="I15" i="21" s="1"/>
  <c r="F14" i="21"/>
  <c r="I14" i="21" s="1"/>
  <c r="F13" i="21"/>
  <c r="I13" i="21" s="1"/>
  <c r="F12" i="21"/>
  <c r="I12" i="21" s="1"/>
  <c r="F11" i="21"/>
  <c r="G12" i="21" s="1"/>
  <c r="H12" i="21" s="1"/>
  <c r="N7" i="21"/>
  <c r="I7" i="21"/>
  <c r="AH42" i="20"/>
  <c r="AI43" i="20" s="1"/>
  <c r="AH44" i="20"/>
  <c r="AH45" i="20"/>
  <c r="AH46" i="20"/>
  <c r="AI46" i="20" s="1"/>
  <c r="AH47" i="20"/>
  <c r="AH48" i="20"/>
  <c r="AH49" i="20"/>
  <c r="AH50" i="20"/>
  <c r="AH51" i="20"/>
  <c r="AH52" i="20"/>
  <c r="AH53" i="20"/>
  <c r="AH54" i="20"/>
  <c r="AI54" i="20" s="1"/>
  <c r="AH55" i="20"/>
  <c r="AH41" i="20"/>
  <c r="AG55" i="20"/>
  <c r="AG54" i="20"/>
  <c r="AG53" i="20"/>
  <c r="AG52" i="20"/>
  <c r="AG51" i="20"/>
  <c r="AG50" i="20"/>
  <c r="AG49" i="20"/>
  <c r="AG48" i="20"/>
  <c r="AG47" i="20"/>
  <c r="AG46" i="20"/>
  <c r="AG45" i="20"/>
  <c r="AI44" i="20"/>
  <c r="AG44" i="20"/>
  <c r="AG43" i="20"/>
  <c r="AG42" i="20"/>
  <c r="AF11" i="20"/>
  <c r="AF12" i="20" s="1"/>
  <c r="AF13" i="20" s="1"/>
  <c r="AF14" i="20" s="1"/>
  <c r="AH10" i="20"/>
  <c r="AE14" i="20"/>
  <c r="AE13" i="20"/>
  <c r="AE12" i="20"/>
  <c r="AE11" i="20"/>
  <c r="K24" i="20"/>
  <c r="K22" i="20"/>
  <c r="K17" i="20"/>
  <c r="K16" i="20"/>
  <c r="K9" i="20"/>
  <c r="AI55" i="20" l="1"/>
  <c r="AI47" i="20"/>
  <c r="AI52" i="20"/>
  <c r="AG11" i="20"/>
  <c r="AI45" i="20"/>
  <c r="AH11" i="20"/>
  <c r="AI11" i="20" s="1"/>
  <c r="AI51" i="20"/>
  <c r="E37" i="20"/>
  <c r="E16" i="20"/>
  <c r="E17" i="20"/>
  <c r="E29" i="20"/>
  <c r="E18" i="20"/>
  <c r="E31" i="20"/>
  <c r="E33" i="20"/>
  <c r="E27" i="20"/>
  <c r="E38" i="20"/>
  <c r="E21" i="20"/>
  <c r="E13" i="20"/>
  <c r="E39" i="20"/>
  <c r="E23" i="20"/>
  <c r="E35" i="20"/>
  <c r="E30" i="20"/>
  <c r="E40" i="20"/>
  <c r="E20" i="20"/>
  <c r="E10" i="20"/>
  <c r="E12" i="20"/>
  <c r="E22" i="20"/>
  <c r="E34" i="20"/>
  <c r="E14" i="20"/>
  <c r="AI53" i="20"/>
  <c r="AI49" i="20"/>
  <c r="C38" i="20"/>
  <c r="D38" i="20"/>
  <c r="D21" i="20"/>
  <c r="F21" i="20"/>
  <c r="F38" i="20"/>
  <c r="C21" i="20"/>
  <c r="N16" i="21"/>
  <c r="N17" i="21"/>
  <c r="L17" i="21"/>
  <c r="M17" i="21" s="1"/>
  <c r="L16" i="21"/>
  <c r="M16" i="21" s="1"/>
  <c r="N15" i="21"/>
  <c r="L15" i="21"/>
  <c r="M15" i="21" s="1"/>
  <c r="L14" i="21"/>
  <c r="M14" i="21" s="1"/>
  <c r="N14" i="21"/>
  <c r="N13" i="21"/>
  <c r="L13" i="21"/>
  <c r="M13" i="21" s="1"/>
  <c r="N12" i="21"/>
  <c r="L12" i="21"/>
  <c r="M12" i="21" s="1"/>
  <c r="G13" i="21"/>
  <c r="H13" i="21" s="1"/>
  <c r="G14" i="21"/>
  <c r="H14" i="21" s="1"/>
  <c r="G15" i="21"/>
  <c r="H15" i="21" s="1"/>
  <c r="G16" i="21"/>
  <c r="H16" i="21" s="1"/>
  <c r="G17" i="21"/>
  <c r="H17" i="21" s="1"/>
  <c r="AI50" i="20"/>
  <c r="AI42" i="20"/>
  <c r="AI48" i="20"/>
  <c r="AH12" i="20"/>
  <c r="AG12" i="20"/>
  <c r="C40" i="20"/>
  <c r="D10" i="20"/>
  <c r="D40" i="20"/>
  <c r="C23" i="20"/>
  <c r="C13" i="20"/>
  <c r="D27" i="20"/>
  <c r="C20" i="20"/>
  <c r="F10" i="20"/>
  <c r="C14" i="20"/>
  <c r="F30" i="20"/>
  <c r="D14" i="20"/>
  <c r="F40" i="20"/>
  <c r="C37" i="20"/>
  <c r="D37" i="20"/>
  <c r="D16" i="20"/>
  <c r="D17" i="20"/>
  <c r="D18" i="20"/>
  <c r="D22" i="20"/>
  <c r="D23" i="20"/>
  <c r="F31" i="20"/>
  <c r="C33" i="20"/>
  <c r="F39" i="20"/>
  <c r="D20" i="20"/>
  <c r="C29" i="20"/>
  <c r="F14" i="20"/>
  <c r="F20" i="20"/>
  <c r="D29" i="20"/>
  <c r="F13" i="20"/>
  <c r="F16" i="20"/>
  <c r="F17" i="20"/>
  <c r="F18" i="20"/>
  <c r="F22" i="20"/>
  <c r="F23" i="20"/>
  <c r="C30" i="20"/>
  <c r="D33" i="20"/>
  <c r="C10" i="20"/>
  <c r="C27" i="20"/>
  <c r="D30" i="20"/>
  <c r="F33" i="20"/>
  <c r="C35" i="20"/>
  <c r="D35" i="20"/>
  <c r="F35" i="20"/>
  <c r="C12" i="20"/>
  <c r="C31" i="20"/>
  <c r="F37" i="20"/>
  <c r="F27" i="20"/>
  <c r="D13" i="20"/>
  <c r="C34" i="20"/>
  <c r="D12" i="20"/>
  <c r="F29" i="20"/>
  <c r="D34" i="20"/>
  <c r="C39" i="20"/>
  <c r="F12" i="20"/>
  <c r="C16" i="20"/>
  <c r="C17" i="20"/>
  <c r="C18" i="20"/>
  <c r="C22" i="20"/>
  <c r="D31" i="20"/>
  <c r="F34" i="20"/>
  <c r="D39" i="20"/>
  <c r="AI12" i="20" l="1"/>
  <c r="AH13" i="20"/>
  <c r="AI13" i="20" s="1"/>
  <c r="AH14" i="20"/>
  <c r="AG13" i="20"/>
  <c r="AI14" i="20" l="1"/>
  <c r="AG14" i="20"/>
  <c r="F13" i="8" l="1"/>
  <c r="D15" i="8" s="1"/>
  <c r="E19" i="8"/>
  <c r="E24" i="8"/>
  <c r="E25" i="8"/>
  <c r="E26" i="8"/>
  <c r="E27" i="8"/>
  <c r="E32" i="8"/>
  <c r="E33" i="8"/>
  <c r="E34" i="8"/>
  <c r="E35" i="8"/>
  <c r="C19" i="8"/>
  <c r="C20" i="8"/>
  <c r="E20" i="8" s="1"/>
  <c r="C21" i="8"/>
  <c r="E21" i="8" s="1"/>
  <c r="C22" i="8"/>
  <c r="E22" i="8" s="1"/>
  <c r="C23" i="8"/>
  <c r="E23" i="8" s="1"/>
  <c r="C24" i="8"/>
  <c r="C25" i="8"/>
  <c r="C26" i="8"/>
  <c r="C27" i="8"/>
  <c r="C28" i="8"/>
  <c r="E28" i="8" s="1"/>
  <c r="C29" i="8"/>
  <c r="E29" i="8" s="1"/>
  <c r="C30" i="8"/>
  <c r="E30" i="8" s="1"/>
  <c r="C31" i="8"/>
  <c r="E31" i="8" s="1"/>
  <c r="C32" i="8"/>
  <c r="C33" i="8"/>
  <c r="C34" i="8"/>
  <c r="C35" i="8"/>
  <c r="C36" i="8"/>
  <c r="E36" i="8" s="1"/>
  <c r="C37" i="8"/>
  <c r="E37" i="8" s="1"/>
  <c r="C18" i="8"/>
  <c r="E18" i="8" s="1"/>
  <c r="F17" i="18" a="1"/>
  <c r="F17" i="18" s="1"/>
  <c r="D17" i="18"/>
  <c r="E17" i="18" s="1" a="1"/>
  <c r="E17" i="18" s="1"/>
  <c r="D18" i="18" s="1"/>
  <c r="H32" i="3"/>
  <c r="H31" i="3"/>
  <c r="H30" i="3"/>
  <c r="H28" i="3"/>
  <c r="H27" i="3"/>
  <c r="H26" i="3"/>
  <c r="H25" i="3"/>
  <c r="H24" i="3"/>
  <c r="H23" i="3"/>
  <c r="H22" i="3"/>
  <c r="H21" i="3"/>
  <c r="H20" i="3"/>
  <c r="H19" i="3"/>
  <c r="H17" i="3"/>
  <c r="H16" i="3"/>
  <c r="H15" i="3"/>
  <c r="H14" i="3"/>
  <c r="H13" i="3"/>
  <c r="H12" i="3"/>
  <c r="H11" i="3"/>
  <c r="H10" i="3"/>
  <c r="O8" i="3"/>
  <c r="I21" i="3" s="1"/>
  <c r="J21" i="3" s="1"/>
  <c r="L21" i="3" s="1"/>
  <c r="H9" i="3"/>
  <c r="O7" i="3"/>
  <c r="I8" i="3" s="1"/>
  <c r="J8" i="3" s="1"/>
  <c r="L8" i="3" s="1"/>
  <c r="H7" i="3"/>
  <c r="H6" i="3"/>
  <c r="H5" i="3"/>
  <c r="H4" i="3"/>
  <c r="H3" i="3"/>
  <c r="F49" i="15"/>
  <c r="C49" i="15"/>
  <c r="D49" i="15"/>
  <c r="G49" i="15" s="1"/>
  <c r="F51" i="15"/>
  <c r="F52" i="15"/>
  <c r="F53" i="15"/>
  <c r="F54" i="15"/>
  <c r="F50" i="15"/>
  <c r="C54" i="15"/>
  <c r="D53" i="15"/>
  <c r="G53" i="15" s="1"/>
  <c r="C53" i="15"/>
  <c r="C52" i="15"/>
  <c r="D52" i="15"/>
  <c r="G52" i="15" s="1"/>
  <c r="D51" i="15"/>
  <c r="G51" i="15" s="1"/>
  <c r="D50" i="15"/>
  <c r="G50" i="15" s="1"/>
  <c r="C50" i="15"/>
  <c r="L36" i="3" l="1"/>
  <c r="I9" i="3"/>
  <c r="I13" i="3"/>
  <c r="J13" i="3" s="1"/>
  <c r="L13" i="3" s="1"/>
  <c r="G17" i="18" a="1"/>
  <c r="G17" i="18" s="1"/>
  <c r="F18" i="8"/>
  <c r="G19" i="8"/>
  <c r="G20" i="8"/>
  <c r="G28" i="8"/>
  <c r="G36" i="8"/>
  <c r="F24" i="8"/>
  <c r="F32" i="8"/>
  <c r="F26" i="8"/>
  <c r="G31" i="8"/>
  <c r="F27" i="8"/>
  <c r="F22" i="8"/>
  <c r="F31" i="8"/>
  <c r="G21" i="8"/>
  <c r="G29" i="8"/>
  <c r="G37" i="8"/>
  <c r="F25" i="8"/>
  <c r="F33" i="8"/>
  <c r="F34" i="8"/>
  <c r="G23" i="8"/>
  <c r="F35" i="8"/>
  <c r="G26" i="8"/>
  <c r="G35" i="8"/>
  <c r="G22" i="8"/>
  <c r="G30" i="8"/>
  <c r="G18" i="8"/>
  <c r="F19" i="8"/>
  <c r="F30" i="8"/>
  <c r="G27" i="8"/>
  <c r="G24" i="8"/>
  <c r="G32" i="8"/>
  <c r="F20" i="8"/>
  <c r="F28" i="8"/>
  <c r="F36" i="8"/>
  <c r="F23" i="8"/>
  <c r="G25" i="8"/>
  <c r="G33" i="8"/>
  <c r="F21" i="8"/>
  <c r="F29" i="8"/>
  <c r="F37" i="8"/>
  <c r="G34" i="8"/>
  <c r="I15" i="3"/>
  <c r="J15" i="3" s="1"/>
  <c r="L15" i="3" s="1"/>
  <c r="I10" i="3"/>
  <c r="J10" i="3" s="1"/>
  <c r="L10" i="3" s="1"/>
  <c r="I16" i="3"/>
  <c r="J16" i="3" s="1"/>
  <c r="L16" i="3" s="1"/>
  <c r="I14" i="3"/>
  <c r="J14" i="3" s="1"/>
  <c r="L14" i="3" s="1"/>
  <c r="I7" i="3"/>
  <c r="J7" i="3" s="1"/>
  <c r="I3" i="3"/>
  <c r="J3" i="3" s="1"/>
  <c r="L3" i="3" s="1"/>
  <c r="I6" i="3"/>
  <c r="J6" i="3" s="1"/>
  <c r="L6" i="3" s="1"/>
  <c r="I5" i="3"/>
  <c r="J5" i="3" s="1"/>
  <c r="L5" i="3" s="1"/>
  <c r="I20" i="3"/>
  <c r="J20" i="3" s="1"/>
  <c r="L20" i="3" s="1"/>
  <c r="I27" i="3"/>
  <c r="J27" i="3" s="1"/>
  <c r="I4" i="3"/>
  <c r="J4" i="3" s="1"/>
  <c r="L4" i="3" s="1"/>
  <c r="I25" i="3"/>
  <c r="J25" i="3" s="1"/>
  <c r="L25" i="3" s="1"/>
  <c r="I12" i="3"/>
  <c r="J12" i="3" s="1"/>
  <c r="I19" i="3"/>
  <c r="I24" i="3"/>
  <c r="J24" i="3" s="1"/>
  <c r="L24" i="3" s="1"/>
  <c r="I28" i="3"/>
  <c r="J28" i="3" s="1"/>
  <c r="L28" i="3" s="1"/>
  <c r="I26" i="3"/>
  <c r="J26" i="3" s="1"/>
  <c r="L26" i="3" s="1"/>
  <c r="I11" i="3"/>
  <c r="J11" i="3" s="1"/>
  <c r="L11" i="3" s="1"/>
  <c r="I32" i="3"/>
  <c r="J32" i="3" s="1"/>
  <c r="L32" i="3" s="1"/>
  <c r="I23" i="3"/>
  <c r="J23" i="3" s="1"/>
  <c r="L23" i="3" s="1"/>
  <c r="I31" i="3"/>
  <c r="J31" i="3" s="1"/>
  <c r="L31" i="3" s="1"/>
  <c r="I22" i="3"/>
  <c r="I17" i="3"/>
  <c r="J17" i="3" s="1"/>
  <c r="L17" i="3" s="1"/>
  <c r="I30" i="3"/>
  <c r="J30" i="3" s="1"/>
  <c r="L30" i="3" s="1"/>
  <c r="D54" i="15"/>
  <c r="G54" i="15" s="1"/>
  <c r="C51" i="15"/>
  <c r="J9" i="3" l="1"/>
  <c r="M9" i="3" s="1"/>
  <c r="L27" i="3"/>
  <c r="M26" i="3"/>
  <c r="J22" i="3"/>
  <c r="L22" i="3" s="1"/>
  <c r="J19" i="3"/>
  <c r="L19" i="3" s="1"/>
  <c r="Q17" i="2"/>
  <c r="L9" i="3" l="1"/>
  <c r="K17" i="12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N7" i="12"/>
  <c r="I7" i="12"/>
  <c r="AC12" i="12" l="1"/>
  <c r="AC11" i="12"/>
  <c r="Z13" i="12"/>
  <c r="Z14" i="12"/>
  <c r="L16" i="12"/>
  <c r="M16" i="12" s="1"/>
  <c r="AC13" i="12"/>
  <c r="AC14" i="12"/>
  <c r="L17" i="12"/>
  <c r="M17" i="12" s="1"/>
  <c r="AC15" i="12"/>
  <c r="AC16" i="12"/>
  <c r="Z11" i="12"/>
  <c r="Z12" i="12"/>
  <c r="Z5" i="12"/>
  <c r="Z6" i="12"/>
  <c r="AC5" i="12"/>
  <c r="AC6" i="12"/>
  <c r="I16" i="12"/>
  <c r="Z16" i="12"/>
  <c r="Z15" i="12"/>
  <c r="I13" i="12"/>
  <c r="Z9" i="12"/>
  <c r="Z10" i="12"/>
  <c r="Z17" i="12"/>
  <c r="Z8" i="12"/>
  <c r="Z7" i="12"/>
  <c r="L13" i="12"/>
  <c r="M13" i="12" s="1"/>
  <c r="AC7" i="12"/>
  <c r="AC8" i="12"/>
  <c r="L14" i="12"/>
  <c r="M14" i="12" s="1"/>
  <c r="AC10" i="12"/>
  <c r="AC9" i="12"/>
  <c r="N17" i="12"/>
  <c r="AC17" i="12"/>
  <c r="I14" i="12"/>
  <c r="N16" i="12"/>
  <c r="N13" i="12"/>
  <c r="L15" i="12"/>
  <c r="M15" i="12" s="1"/>
  <c r="I17" i="12"/>
  <c r="N15" i="12"/>
  <c r="L12" i="12"/>
  <c r="M12" i="12" s="1"/>
  <c r="N14" i="12"/>
  <c r="I12" i="12"/>
  <c r="G16" i="12"/>
  <c r="G13" i="12"/>
  <c r="G17" i="12"/>
  <c r="G14" i="12"/>
  <c r="N12" i="12"/>
  <c r="G15" i="12"/>
  <c r="I15" i="12"/>
  <c r="G12" i="12"/>
  <c r="H14" i="12" l="1"/>
  <c r="H12" i="12"/>
  <c r="AA6" i="12"/>
  <c r="H17" i="12"/>
  <c r="H13" i="12"/>
  <c r="H16" i="12"/>
  <c r="H15" i="12"/>
  <c r="I34" i="15"/>
  <c r="H34" i="15"/>
  <c r="F34" i="15" s="1"/>
  <c r="G34" i="15"/>
  <c r="E34" i="15"/>
  <c r="D34" i="15"/>
  <c r="C34" i="15"/>
  <c r="B34" i="15"/>
  <c r="I33" i="15"/>
  <c r="G33" i="15" s="1"/>
  <c r="H33" i="15"/>
  <c r="F33" i="15" s="1"/>
  <c r="E33" i="15"/>
  <c r="D33" i="15"/>
  <c r="C33" i="15"/>
  <c r="I26" i="15"/>
  <c r="H26" i="15"/>
  <c r="F26" i="15" s="1"/>
  <c r="G26" i="15"/>
  <c r="E26" i="15"/>
  <c r="D26" i="15"/>
  <c r="C26" i="15"/>
  <c r="I25" i="15"/>
  <c r="H25" i="15"/>
  <c r="F25" i="15" s="1"/>
  <c r="G25" i="15"/>
  <c r="E25" i="15"/>
  <c r="D25" i="15"/>
  <c r="C25" i="15"/>
  <c r="B25" i="15"/>
  <c r="B26" i="15" s="1"/>
  <c r="I22" i="15"/>
  <c r="H22" i="15"/>
  <c r="G22" i="15"/>
  <c r="F22" i="15"/>
  <c r="E22" i="15"/>
  <c r="D22" i="15"/>
  <c r="C22" i="15"/>
  <c r="I21" i="15"/>
  <c r="G21" i="15" s="1"/>
  <c r="H21" i="15"/>
  <c r="F21" i="15"/>
  <c r="E21" i="15"/>
  <c r="D21" i="15"/>
  <c r="C21" i="15"/>
  <c r="B21" i="15"/>
  <c r="B22" i="15" s="1"/>
  <c r="G18" i="15"/>
  <c r="F18" i="15"/>
  <c r="G17" i="15"/>
  <c r="F17" i="15"/>
  <c r="G10" i="15"/>
  <c r="F10" i="15"/>
  <c r="G9" i="15"/>
  <c r="F9" i="15"/>
  <c r="G6" i="15"/>
  <c r="F6" i="15"/>
  <c r="G5" i="15"/>
  <c r="F5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tc={C8B858D3-C113-4E97-AA3A-D7396E2D7EB3}</author>
  </authors>
  <commentList>
    <comment ref="F19" authorId="0" shapeId="0" xr:uid="{C8B858D3-C113-4E97-AA3A-D7396E2D7EB3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RH values of last run Day2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<sst xmlns="http://schemas.openxmlformats.org/spreadsheetml/2006/main" count="2692" uniqueCount="848">
  <si>
    <t>SCG 007 C</t>
  </si>
  <si>
    <t>Car</t>
  </si>
  <si>
    <t>Engine #</t>
  </si>
  <si>
    <t>Date</t>
  </si>
  <si>
    <t>Gearbox #</t>
  </si>
  <si>
    <t>Event</t>
  </si>
  <si>
    <t>Out #</t>
  </si>
  <si>
    <t>Setup weight</t>
  </si>
  <si>
    <t>Target with BoP</t>
  </si>
  <si>
    <t>Cockpit ballast</t>
  </si>
  <si>
    <t>Other ballast</t>
  </si>
  <si>
    <t>Droop travel</t>
  </si>
  <si>
    <t>(shims)</t>
  </si>
  <si>
    <t>Front</t>
  </si>
  <si>
    <t>LCAF</t>
  </si>
  <si>
    <t>LCAR</t>
  </si>
  <si>
    <t>UCAF</t>
  </si>
  <si>
    <t>Rear</t>
  </si>
  <si>
    <t>ARBs</t>
  </si>
  <si>
    <t>Type</t>
  </si>
  <si>
    <t>Blade/T position</t>
  </si>
  <si>
    <t>LH</t>
  </si>
  <si>
    <t>RH</t>
  </si>
  <si>
    <t>Pushrod shims</t>
  </si>
  <si>
    <t>Preload [N]</t>
  </si>
  <si>
    <t>Spacer [mm]</t>
  </si>
  <si>
    <t>Front Lateral</t>
  </si>
  <si>
    <t>Rear Lateral</t>
  </si>
  <si>
    <t>Front Central</t>
  </si>
  <si>
    <t>Rear Central</t>
  </si>
  <si>
    <t>Side damper type</t>
  </si>
  <si>
    <t>Bump LS / HS</t>
  </si>
  <si>
    <t>Rebound LS / HS</t>
  </si>
  <si>
    <t>3rd damper type</t>
  </si>
  <si>
    <t>Pressure balance</t>
  </si>
  <si>
    <t>Brake blanking</t>
  </si>
  <si>
    <t>Pedalbox position</t>
  </si>
  <si>
    <t>Front wing flap</t>
  </si>
  <si>
    <t>Ratio set type</t>
  </si>
  <si>
    <t>Diff. preload (bar)</t>
  </si>
  <si>
    <t>Diff. faces</t>
  </si>
  <si>
    <t>Viscous coupling</t>
  </si>
  <si>
    <t>Drive</t>
  </si>
  <si>
    <t>Coast</t>
  </si>
  <si>
    <t>Diff. ramps</t>
  </si>
  <si>
    <t>BoP ballast (+kg)</t>
  </si>
  <si>
    <t>BoP power (+-kW)</t>
  </si>
  <si>
    <t>Notes:</t>
  </si>
  <si>
    <t>Camber [deg]</t>
  </si>
  <si>
    <t>UPPER</t>
  </si>
  <si>
    <t>Blade type</t>
  </si>
  <si>
    <t>no</t>
  </si>
  <si>
    <t>Master cylinders</t>
  </si>
  <si>
    <t>Damper types and curves</t>
  </si>
  <si>
    <t>Packer thickness to free travel at given RH setup</t>
  </si>
  <si>
    <t>Implement drop down menus for the options, avoid blank field filling</t>
  </si>
  <si>
    <t>1 - Long</t>
  </si>
  <si>
    <t>CX</t>
  </si>
  <si>
    <t>Rear RH</t>
  </si>
  <si>
    <t>Front RH</t>
  </si>
  <si>
    <t>AB</t>
  </si>
  <si>
    <t>CZ tot</t>
  </si>
  <si>
    <t>Add:</t>
  </si>
  <si>
    <t>5 Hz</t>
  </si>
  <si>
    <t>4 Hz</t>
  </si>
  <si>
    <t>Coil Spring</t>
  </si>
  <si>
    <t>Linear clearance</t>
  </si>
  <si>
    <t>mm</t>
  </si>
  <si>
    <t>Linear</t>
  </si>
  <si>
    <t>N/mm</t>
  </si>
  <si>
    <t>Belleville</t>
  </si>
  <si>
    <t>Stack #</t>
  </si>
  <si>
    <t>Series #</t>
  </si>
  <si>
    <t>Parallels #</t>
  </si>
  <si>
    <t>Travel (1)</t>
  </si>
  <si>
    <t>Travel Tot</t>
  </si>
  <si>
    <t>L0</t>
  </si>
  <si>
    <t>Lmin</t>
  </si>
  <si>
    <t>Clearance</t>
  </si>
  <si>
    <t>18 0011</t>
  </si>
  <si>
    <t>18 0029</t>
  </si>
  <si>
    <t>Tot L</t>
  </si>
  <si>
    <t>7 Hz</t>
  </si>
  <si>
    <t>6 Hz</t>
  </si>
  <si>
    <t>None</t>
  </si>
  <si>
    <t>9 Hz</t>
  </si>
  <si>
    <t>8 Hz</t>
  </si>
  <si>
    <t>18 0019</t>
  </si>
  <si>
    <t>For all configurations, end-of-straight (320 km/h) ride heights 38mm, 34mm rear</t>
  </si>
  <si>
    <t>Front 3rd</t>
  </si>
  <si>
    <t>Rear 3rd</t>
  </si>
  <si>
    <t>Balance</t>
  </si>
  <si>
    <t>BASELINE</t>
  </si>
  <si>
    <t>Speed [km/h]</t>
  </si>
  <si>
    <t>Option #</t>
  </si>
  <si>
    <t>Faces</t>
  </si>
  <si>
    <t>Drive %</t>
  </si>
  <si>
    <t>Coast %</t>
  </si>
  <si>
    <t>Drive G</t>
  </si>
  <si>
    <t>Coast G</t>
  </si>
  <si>
    <t>Baseline:</t>
  </si>
  <si>
    <t>Ramp</t>
  </si>
  <si>
    <t>45/30</t>
  </si>
  <si>
    <t>Buy for testing</t>
  </si>
  <si>
    <t>Build spec</t>
  </si>
  <si>
    <t>60/30</t>
  </si>
  <si>
    <t>35/25</t>
  </si>
  <si>
    <t>Specular options</t>
  </si>
  <si>
    <t>Diff. ratio</t>
  </si>
  <si>
    <t>Ratio tables and vehicle speed</t>
  </si>
  <si>
    <t>RPM</t>
  </si>
  <si>
    <t>Rolling radius</t>
  </si>
  <si>
    <t>drop to</t>
  </si>
  <si>
    <t>drop</t>
  </si>
  <si>
    <t>speed up</t>
  </si>
  <si>
    <t>Opt 1 - Long</t>
  </si>
  <si>
    <t>Opt 2 - Short</t>
  </si>
  <si>
    <t>Total final ratio</t>
  </si>
  <si>
    <t>Differential ramps</t>
  </si>
  <si>
    <t>Xtrac options (green in stock)</t>
  </si>
  <si>
    <t>Setup value</t>
  </si>
  <si>
    <t>Nm @ 50rpm</t>
  </si>
  <si>
    <t>deg/s</t>
  </si>
  <si>
    <t>rad/s</t>
  </si>
  <si>
    <t>% of ref.</t>
  </si>
  <si>
    <t>Nm</t>
  </si>
  <si>
    <t>RPM fit coefficients</t>
  </si>
  <si>
    <t xml:space="preserve">c </t>
  </si>
  <si>
    <t>b</t>
  </si>
  <si>
    <t>- Gearbox identification numbers</t>
  </si>
  <si>
    <t>- Front wing flap effect</t>
  </si>
  <si>
    <t>- Yaw/Steer/Roll sensitivity plots</t>
  </si>
  <si>
    <t>AB vs cornering speed</t>
  </si>
  <si>
    <t>Plots to add:</t>
  </si>
  <si>
    <t>RH vs cornering speed</t>
  </si>
  <si>
    <t>Brake system model</t>
  </si>
  <si>
    <t>mm^3/bar</t>
  </si>
  <si>
    <t>Total Fx</t>
  </si>
  <si>
    <t>Front rigid brake pipe</t>
  </si>
  <si>
    <t>m</t>
  </si>
  <si>
    <t>Front flexi brake pipe</t>
  </si>
  <si>
    <t>Rear rigid brake pipe</t>
  </si>
  <si>
    <t>Fx</t>
  </si>
  <si>
    <t>Rear flexi brake pipe</t>
  </si>
  <si>
    <t>Wheel radius</t>
  </si>
  <si>
    <t>mm^3/bar per length</t>
  </si>
  <si>
    <t>Torque (per side)</t>
  </si>
  <si>
    <t>Disc eff. Radius</t>
  </si>
  <si>
    <t>Front master cylinder diam.</t>
  </si>
  <si>
    <t>mm^2</t>
  </si>
  <si>
    <t>Rear master cylinder diam.</t>
  </si>
  <si>
    <t>Pad mu</t>
  </si>
  <si>
    <t>Front line pressure</t>
  </si>
  <si>
    <t>bar</t>
  </si>
  <si>
    <t>Rear line pressure</t>
  </si>
  <si>
    <t>Piston area (per caliper side)</t>
  </si>
  <si>
    <t>Front Pad/disc clearance</t>
  </si>
  <si>
    <t>Line pressure</t>
  </si>
  <si>
    <t>Rear Pad/disc clearance</t>
  </si>
  <si>
    <t>Front Caliper piston area</t>
  </si>
  <si>
    <t>Master cylinder diam.</t>
  </si>
  <si>
    <t>Rear Caliper piston area</t>
  </si>
  <si>
    <t>Master cylinder area</t>
  </si>
  <si>
    <t>Master cylinder force</t>
  </si>
  <si>
    <t>Balance bar ratio</t>
  </si>
  <si>
    <t>Front oil volume</t>
  </si>
  <si>
    <t>mm^3</t>
  </si>
  <si>
    <t>Pedal ratio</t>
  </si>
  <si>
    <t>Rear oil volume</t>
  </si>
  <si>
    <t>Pedal force</t>
  </si>
  <si>
    <t>Front master cylinder travel</t>
  </si>
  <si>
    <t>Delta</t>
  </si>
  <si>
    <t>Rear master cylinder travel</t>
  </si>
  <si>
    <t>Average travel</t>
  </si>
  <si>
    <t>Pedal travel</t>
  </si>
  <si>
    <t>Rigid brake pipe compliance</t>
  </si>
  <si>
    <t>Flexible brake pipe compliance</t>
  </si>
  <si>
    <t>Compliance model - Input</t>
  </si>
  <si>
    <t>Compliance model - Output</t>
  </si>
  <si>
    <t>Braking condition - Input</t>
  </si>
  <si>
    <t>Disc tangential force (Ft)</t>
  </si>
  <si>
    <t>Disc normal force (Fn)</t>
  </si>
  <si>
    <t>N</t>
  </si>
  <si>
    <t>m2</t>
  </si>
  <si>
    <t>-</t>
  </si>
  <si>
    <t>Mechanical balance</t>
  </si>
  <si>
    <t>Use</t>
  </si>
  <si>
    <t>Free length</t>
  </si>
  <si>
    <t>K</t>
  </si>
  <si>
    <t>Eibach code</t>
  </si>
  <si>
    <t>Priority</t>
  </si>
  <si>
    <t>MR</t>
  </si>
  <si>
    <t>K at ground</t>
  </si>
  <si>
    <t>Preload [mm]</t>
  </si>
  <si>
    <t>Tot. Spacer* [mm]</t>
  </si>
  <si>
    <t>Trim spacer</t>
  </si>
  <si>
    <t>Specific spacer</t>
  </si>
  <si>
    <t>Set-up mass</t>
  </si>
  <si>
    <t>kg</t>
  </si>
  <si>
    <t>1030 car +80 driver +5 consumables</t>
  </si>
  <si>
    <t>0500.200.0700</t>
  </si>
  <si>
    <t>Weight distribution</t>
  </si>
  <si>
    <t>0500.200.0750</t>
  </si>
  <si>
    <t>Front unsprung mass</t>
  </si>
  <si>
    <t>0500.200.0800</t>
  </si>
  <si>
    <t>Rear unsprung mass</t>
  </si>
  <si>
    <t>0500.200.0850</t>
  </si>
  <si>
    <t>HRF-120-50-160</t>
  </si>
  <si>
    <t>Front axle preload</t>
  </si>
  <si>
    <t>0500.200.0950</t>
  </si>
  <si>
    <t>Rear axle preload</t>
  </si>
  <si>
    <t>0500.200.1000</t>
  </si>
  <si>
    <t>0500.200.1050</t>
  </si>
  <si>
    <t>Front Lat. Damper static spring space</t>
  </si>
  <si>
    <t>between perches, at installed length, without spring spacer</t>
  </si>
  <si>
    <t>HRF-120-50-180</t>
  </si>
  <si>
    <t>(Updated version!) between perches, at installed length, without spring spacer</t>
  </si>
  <si>
    <t>0500.200.1100</t>
  </si>
  <si>
    <t>0500.200.1200</t>
  </si>
  <si>
    <t>* to be designed</t>
  </si>
  <si>
    <t>0500.200.1400</t>
  </si>
  <si>
    <t>** clearance at static ride height between 0 and 35mm</t>
  </si>
  <si>
    <t>0500.200.1750</t>
  </si>
  <si>
    <t>0500.200.2000</t>
  </si>
  <si>
    <t>Changelog:</t>
  </si>
  <si>
    <t>r03 : Added helper springs and couplers for third element</t>
  </si>
  <si>
    <t>0600.200.0650</t>
  </si>
  <si>
    <t>0600.200.0700</t>
  </si>
  <si>
    <t>0600.200.0750</t>
  </si>
  <si>
    <t>0600.200.0800</t>
  </si>
  <si>
    <t>0600.200.0850</t>
  </si>
  <si>
    <t>0600.200.0900</t>
  </si>
  <si>
    <t>0600.200.0950</t>
  </si>
  <si>
    <t>0600.200.1000</t>
  </si>
  <si>
    <t>0600.200.1100</t>
  </si>
  <si>
    <t>0600.200.1200</t>
  </si>
  <si>
    <t>0600.200.1400</t>
  </si>
  <si>
    <t>0600.200.1600</t>
  </si>
  <si>
    <t>0600.200.1800</t>
  </si>
  <si>
    <t>Model</t>
  </si>
  <si>
    <t>Travel</t>
  </si>
  <si>
    <t>Available</t>
  </si>
  <si>
    <t>Setup RH</t>
  </si>
  <si>
    <t>FRONT</t>
  </si>
  <si>
    <t>REAR</t>
  </si>
  <si>
    <t>Required packer stack [mm]</t>
  </si>
  <si>
    <t>Static gap [mm]</t>
  </si>
  <si>
    <t>110Nm @ 50rpm</t>
  </si>
  <si>
    <t>Provisional maps, from 3rd WT session (60% model scale)</t>
  </si>
  <si>
    <t>Option</t>
  </si>
  <si>
    <t>LCA front</t>
  </si>
  <si>
    <t>LCA rear</t>
  </si>
  <si>
    <t>RCH</t>
  </si>
  <si>
    <t>AD</t>
  </si>
  <si>
    <t>#</t>
  </si>
  <si>
    <t>%</t>
  </si>
  <si>
    <t>UCA front</t>
  </si>
  <si>
    <t>AS</t>
  </si>
  <si>
    <t>AL</t>
  </si>
  <si>
    <t>Tie Outer Fix</t>
  </si>
  <si>
    <t>#6</t>
  </si>
  <si>
    <t>Spring [Code]</t>
  </si>
  <si>
    <t>Refuel side</t>
  </si>
  <si>
    <t>Air lance side</t>
  </si>
  <si>
    <t>Time beacon side</t>
  </si>
  <si>
    <t>Gear</t>
  </si>
  <si>
    <t>Bevel set</t>
  </si>
  <si>
    <t>Differential</t>
  </si>
  <si>
    <t>Global</t>
  </si>
  <si>
    <t>Parameter</t>
  </si>
  <si>
    <t>Value</t>
  </si>
  <si>
    <t>Unit</t>
  </si>
  <si>
    <t>Front Suspension</t>
  </si>
  <si>
    <t>Rear Suspension</t>
  </si>
  <si>
    <t>Design static ride height</t>
  </si>
  <si>
    <t>Tyre static loaded radius</t>
  </si>
  <si>
    <t>Max single wheel bump travel</t>
  </si>
  <si>
    <t>Max heave bump travel</t>
  </si>
  <si>
    <t>Max wheel droop travel</t>
  </si>
  <si>
    <t>Design camber</t>
  </si>
  <si>
    <t>Static camber range</t>
  </si>
  <si>
    <t>Camber adjustment increment</t>
  </si>
  <si>
    <t>Camber change per 10mm wheel bump</t>
  </si>
  <si>
    <t>Design toe</t>
  </si>
  <si>
    <t>Total toe adjustment range</t>
  </si>
  <si>
    <t>Toe adjustment increment</t>
  </si>
  <si>
    <t>Toe change with bump</t>
  </si>
  <si>
    <t>Design track legality</t>
  </si>
  <si>
    <t>Castor angle</t>
  </si>
  <si>
    <t>Castor trail</t>
  </si>
  <si>
    <t>Kingpin angle</t>
  </si>
  <si>
    <t>Scrub radius</t>
  </si>
  <si>
    <t>Roll centre height to ground @ static RH</t>
  </si>
  <si>
    <t>Roll centre height variation relative to chassis</t>
  </si>
  <si>
    <t>Anti-dive</t>
  </si>
  <si>
    <t>Ackerman</t>
  </si>
  <si>
    <t>Lateral damper motion ratio</t>
  </si>
  <si>
    <t>Central damper motion ratio</t>
  </si>
  <si>
    <t>Anti-roll bar motion ratio</t>
  </si>
  <si>
    <t>deg</t>
  </si>
  <si>
    <t>+-mm on rim</t>
  </si>
  <si>
    <t>mm/mm</t>
  </si>
  <si>
    <t>mm total @ max camber</t>
  </si>
  <si>
    <t>ratio</t>
  </si>
  <si>
    <t>deg/deg of body roll</t>
  </si>
  <si>
    <t>-0.5 to -3.5</t>
  </si>
  <si>
    <t>minimize</t>
  </si>
  <si>
    <t>deg/10mm</t>
  </si>
  <si>
    <t>Anti-roll bar motion ratio - middle position</t>
  </si>
  <si>
    <t>Maximum dynamic ride height (regulation)</t>
  </si>
  <si>
    <t>-0.5 to -2.5</t>
  </si>
  <si>
    <t>.</t>
  </si>
  <si>
    <t>Anti-lift</t>
  </si>
  <si>
    <t>Anti-squat</t>
  </si>
  <si>
    <t>mm from ground</t>
  </si>
  <si>
    <t>CoG height - design RH - estimate</t>
  </si>
  <si>
    <t>Weight distribution - with driver - estimate</t>
  </si>
  <si>
    <t>front fraction</t>
  </si>
  <si>
    <t>mm/mm bump</t>
  </si>
  <si>
    <t>Roll centre height variation relative to ground</t>
  </si>
  <si>
    <t>Dry car</t>
  </si>
  <si>
    <t>x</t>
  </si>
  <si>
    <t>y</t>
  </si>
  <si>
    <t>z</t>
  </si>
  <si>
    <t>Driver</t>
  </si>
  <si>
    <t>Ballast 1</t>
  </si>
  <si>
    <t>Ballast 2</t>
  </si>
  <si>
    <t>Ballast 3</t>
  </si>
  <si>
    <t>Ballast 4</t>
  </si>
  <si>
    <t>Ballast 5</t>
  </si>
  <si>
    <t>Ballast 6</t>
  </si>
  <si>
    <t>Ballast 7</t>
  </si>
  <si>
    <t>Ballast 8</t>
  </si>
  <si>
    <t>Ballast 9</t>
  </si>
  <si>
    <t>Ballast 10</t>
  </si>
  <si>
    <t>Forward chassis – in front of pedal box bulkhead</t>
  </si>
  <si>
    <t>Description</t>
  </si>
  <si>
    <t>Forward chassis – below chassis under driver legs</t>
  </si>
  <si>
    <t>Centre chassis – above skid block</t>
  </si>
  <si>
    <t>Side chassis – total both sides</t>
  </si>
  <si>
    <t>Sump</t>
  </si>
  <si>
    <t>Bellhousing</t>
  </si>
  <si>
    <t>Gearbox</t>
  </si>
  <si>
    <t>Floor</t>
  </si>
  <si>
    <t>Chassis BoP</t>
  </si>
  <si>
    <t>Cockpit trim ballast</t>
  </si>
  <si>
    <t>Estimate</t>
  </si>
  <si>
    <t>Mass [kg]</t>
  </si>
  <si>
    <t>Maximum [kg]</t>
  </si>
  <si>
    <t>Total</t>
  </si>
  <si>
    <t>Note Z=0 is car bottom (above the skidblock, which is 25mm on the friction pads)</t>
  </si>
  <si>
    <t>Fuel</t>
  </si>
  <si>
    <t>Verify experimentally with driver in/out</t>
  </si>
  <si>
    <t>Available engines</t>
  </si>
  <si>
    <t>ID</t>
  </si>
  <si>
    <t>km</t>
  </si>
  <si>
    <t>Last event</t>
  </si>
  <si>
    <t>Last event - date</t>
  </si>
  <si>
    <t>Power curve</t>
  </si>
  <si>
    <t>Nmax</t>
  </si>
  <si>
    <t>N/Nmax</t>
  </si>
  <si>
    <t>N [rpm]</t>
  </si>
  <si>
    <t>rpm</t>
  </si>
  <si>
    <t>Air humidity [%]</t>
  </si>
  <si>
    <t>Air pressure [mbar]</t>
  </si>
  <si>
    <t>Air temperature [degC]</t>
  </si>
  <si>
    <t>Ambient power scaling factor</t>
  </si>
  <si>
    <t>BoP power</t>
  </si>
  <si>
    <t>kW (+-20 kW max)</t>
  </si>
  <si>
    <t>Total power scaling</t>
  </si>
  <si>
    <t>Ref. Power [kW]</t>
  </si>
  <si>
    <t>Scaled Power [kW]</t>
  </si>
  <si>
    <t>Scaled Torque [Nm]</t>
  </si>
  <si>
    <t>Ref. Torque [Nm]</t>
  </si>
  <si>
    <t>Kinematic</t>
  </si>
  <si>
    <t>&gt;Bodywork part numbers, mass, quality and fitting priority</t>
  </si>
  <si>
    <t>Physical test</t>
  </si>
  <si>
    <t>Front bars
[Nm/deg]</t>
  </si>
  <si>
    <t>Parameters</t>
  </si>
  <si>
    <t>m sprung(+unsprung)</t>
  </si>
  <si>
    <t>hCG</t>
  </si>
  <si>
    <t>hRC front</t>
  </si>
  <si>
    <t>hRC rear</t>
  </si>
  <si>
    <t>Rear [Nm/deg]</t>
  </si>
  <si>
    <t>Roll gradient</t>
  </si>
  <si>
    <t>weight balance</t>
  </si>
  <si>
    <t>roll arm</t>
  </si>
  <si>
    <t>half track front</t>
  </si>
  <si>
    <t>half track rear</t>
  </si>
  <si>
    <t>Front lateral spring</t>
  </si>
  <si>
    <t>Rear lateral spring</t>
  </si>
  <si>
    <t>Front lat. spr. roll stiffn.</t>
  </si>
  <si>
    <t>Nm/deg</t>
  </si>
  <si>
    <t>Rear lat. spr. roll stiffn.</t>
  </si>
  <si>
    <t>Suspension installation stiffness</t>
  </si>
  <si>
    <t>Elastic roll stiffness balance</t>
  </si>
  <si>
    <t>1856: Check</t>
  </si>
  <si>
    <t>Current setup</t>
  </si>
  <si>
    <t>Elastic balance</t>
  </si>
  <si>
    <t>ARB</t>
  </si>
  <si>
    <t>ARB Ground target range [Nm/deg]</t>
  </si>
  <si>
    <t>Min</t>
  </si>
  <si>
    <t>Max</t>
  </si>
  <si>
    <t>Target, for info only</t>
  </si>
  <si>
    <t>Steps gain</t>
  </si>
  <si>
    <t>Front MR</t>
  </si>
  <si>
    <t>deg/deg</t>
  </si>
  <si>
    <t>Adjustment option</t>
  </si>
  <si>
    <t>Front at ground</t>
  </si>
  <si>
    <t>Step</t>
  </si>
  <si>
    <t>At bar</t>
  </si>
  <si>
    <t>bar1</t>
  </si>
  <si>
    <t>bar2</t>
  </si>
  <si>
    <t>bar3</t>
  </si>
  <si>
    <t>bar4</t>
  </si>
  <si>
    <t>Maximum</t>
  </si>
  <si>
    <t>5-5</t>
  </si>
  <si>
    <t>1-1</t>
  </si>
  <si>
    <t>Bars to be designed (Front) [Nm/deg at the bar]</t>
  </si>
  <si>
    <t>Bar #</t>
  </si>
  <si>
    <t>Stiffness in "stiffest blade position"</t>
  </si>
  <si>
    <t>Stiffness in "softest blade position"</t>
  </si>
  <si>
    <t>Rear MR</t>
  </si>
  <si>
    <t>Count</t>
  </si>
  <si>
    <t>Rear at ground</t>
  </si>
  <si>
    <t>bar 5</t>
  </si>
  <si>
    <t>Bars to be designed (Rear) [Nm/deg at the bar]</t>
  </si>
  <si>
    <t>Stiffness in "middle drop-link position"</t>
  </si>
  <si>
    <t>1 dof end of straight frequency</t>
  </si>
  <si>
    <t>Save/load setups, and comparison report</t>
  </si>
  <si>
    <t>M. cyl options</t>
  </si>
  <si>
    <t>+- 1 size</t>
  </si>
  <si>
    <t>W.D.</t>
  </si>
  <si>
    <t>Opt 1 - Prop</t>
  </si>
  <si>
    <t>Blanking options</t>
  </si>
  <si>
    <t>A</t>
  </si>
  <si>
    <t>C</t>
  </si>
  <si>
    <t>B</t>
  </si>
  <si>
    <t>D</t>
  </si>
  <si>
    <t>Inlet area</t>
  </si>
  <si>
    <t>Cooling</t>
  </si>
  <si>
    <t>E</t>
  </si>
  <si>
    <t>F</t>
  </si>
  <si>
    <t>km/h</t>
  </si>
  <si>
    <t>roll. rad.</t>
  </si>
  <si>
    <t>Ramps</t>
  </si>
  <si>
    <t>Delta trq [Nm]</t>
  </si>
  <si>
    <t>Output trq [Nm]</t>
  </si>
  <si>
    <t>CZ Front</t>
  </si>
  <si>
    <t>CZ Rear</t>
  </si>
  <si>
    <t>X</t>
  </si>
  <si>
    <t>&gt; Any option for toe-in at rear in droop?</t>
  </si>
  <si>
    <t>&gt; Any option for toe-out at front in bump?</t>
  </si>
  <si>
    <t>Front: 16.8 mm, options 15.8, 17.8 mm</t>
  </si>
  <si>
    <t>Provisional maps, from 4th WT session (60% model scale)</t>
  </si>
  <si>
    <t>Speed</t>
  </si>
  <si>
    <t>Maximum tank capacity</t>
  </si>
  <si>
    <t>127.2 litres</t>
  </si>
  <si>
    <t>Provisional maps, from 4th WT session (60% model scale) + compensation for car build spec and rolling resistance offset</t>
  </si>
  <si>
    <t>Output diff torque</t>
  </si>
  <si>
    <t>MDiffDemandR</t>
  </si>
  <si>
    <t>Map for Canopy</t>
  </si>
  <si>
    <t>Delta speed</t>
  </si>
  <si>
    <t>3863 299</t>
  </si>
  <si>
    <t>299 263</t>
  </si>
  <si>
    <t>263 284</t>
  </si>
  <si>
    <t>284 2363</t>
  </si>
  <si>
    <t>nFinalDrive</t>
  </si>
  <si>
    <t>Fully extended length</t>
  </si>
  <si>
    <t>Maximum stroke</t>
  </si>
  <si>
    <t>Design length</t>
  </si>
  <si>
    <t>Shaft free length - extended</t>
  </si>
  <si>
    <t>Shaft free length - design</t>
  </si>
  <si>
    <t>Shaft free length - full bump</t>
  </si>
  <si>
    <t>Minimum length</t>
  </si>
  <si>
    <t xml:space="preserve"> </t>
  </si>
  <si>
    <t>Setup clearance</t>
  </si>
  <si>
    <t>Bumpstop</t>
  </si>
  <si>
    <t>Required packer</t>
  </si>
  <si>
    <t>Setup length</t>
  </si>
  <si>
    <t>Travel limiter thickness</t>
  </si>
  <si>
    <t>Packer</t>
  </si>
  <si>
    <t>Type 1 - Set 2</t>
  </si>
  <si>
    <t>Type 1 - Set 1</t>
  </si>
  <si>
    <t>Bump LS | HS</t>
  </si>
  <si>
    <t>Reb. LS | HS</t>
  </si>
  <si>
    <t>FL       FR</t>
  </si>
  <si>
    <t>RL       RR</t>
  </si>
  <si>
    <r>
      <t xml:space="preserve">Front : </t>
    </r>
    <r>
      <rPr>
        <sz val="11"/>
        <color theme="1"/>
        <rFont val="Calibri"/>
        <family val="2"/>
        <scheme val="minor"/>
      </rPr>
      <t>Blanking from the bottom</t>
    </r>
  </si>
  <si>
    <r>
      <t>Rear :</t>
    </r>
    <r>
      <rPr>
        <sz val="11"/>
        <color theme="1"/>
        <rFont val="Calibri"/>
        <family val="2"/>
        <scheme val="minor"/>
      </rPr>
      <t xml:space="preserve"> Blanking from the top</t>
    </r>
  </si>
  <si>
    <t>Free area height</t>
  </si>
  <si>
    <t>Shaft free length - installed</t>
  </si>
  <si>
    <t>Distance</t>
  </si>
  <si>
    <t>FRH</t>
  </si>
  <si>
    <t>Damper body</t>
  </si>
  <si>
    <t>Rims</t>
  </si>
  <si>
    <t>Gearbox height</t>
  </si>
  <si>
    <t>Rocker height</t>
  </si>
  <si>
    <t>Rebound travel at damper</t>
  </si>
  <si>
    <t>RRH (Design)</t>
  </si>
  <si>
    <t>FRH (Design)</t>
  </si>
  <si>
    <t>Tot. offset</t>
  </si>
  <si>
    <t>Measurement</t>
  </si>
  <si>
    <t>Radius comp.</t>
  </si>
  <si>
    <t>Scales</t>
  </si>
  <si>
    <t>WD</t>
  </si>
  <si>
    <t>Cross</t>
  </si>
  <si>
    <t>3 (middle)</t>
  </si>
  <si>
    <r>
      <t xml:space="preserve">Toe </t>
    </r>
    <r>
      <rPr>
        <b/>
        <sz val="10"/>
        <color rgb="FFFFFF00"/>
        <rFont val="Calibri"/>
        <family val="2"/>
        <scheme val="minor"/>
      </rPr>
      <t>out</t>
    </r>
    <r>
      <rPr>
        <b/>
        <sz val="10"/>
        <color theme="0"/>
        <rFont val="Calibri"/>
        <family val="2"/>
        <scheme val="minor"/>
      </rPr>
      <t xml:space="preserve"> [mm]</t>
    </r>
  </si>
  <si>
    <t>Bumpstop (gap)</t>
  </si>
  <si>
    <t>0°</t>
  </si>
  <si>
    <t>Right</t>
  </si>
  <si>
    <t>Prod gains</t>
  </si>
  <si>
    <t>n/a</t>
  </si>
  <si>
    <t>0.65 mm / (mm RH)</t>
  </si>
  <si>
    <t>0.43 mm / (mm RH)</t>
  </si>
  <si>
    <t>Damper travel</t>
  </si>
  <si>
    <t>Camber</t>
  </si>
  <si>
    <t>Toe out</t>
  </si>
  <si>
    <t>RH at chassis (COMP)</t>
  </si>
  <si>
    <r>
      <t xml:space="preserve">Ride height
</t>
    </r>
    <r>
      <rPr>
        <b/>
        <sz val="10"/>
        <color rgb="FFFFFF00"/>
        <rFont val="Calibri"/>
        <family val="2"/>
        <scheme val="minor"/>
      </rPr>
      <t>(target in pitlane)</t>
    </r>
  </si>
  <si>
    <t>opened rear dampers</t>
  </si>
  <si>
    <t>Tot pack length 127.5 @ setup</t>
  </si>
  <si>
    <t>9Hz @ 44.5</t>
  </si>
  <si>
    <t>7Hz was at 41.8mm gap</t>
  </si>
  <si>
    <t>6Hz @ 40.1</t>
  </si>
  <si>
    <t>16.8 / 19.1</t>
  </si>
  <si>
    <t>50 Nm</t>
  </si>
  <si>
    <t>none</t>
  </si>
  <si>
    <t>Mech. Brake Balance</t>
  </si>
  <si>
    <t>Rear: 17.8 mm, options 16.8, 19.1, 20.6 mm</t>
  </si>
  <si>
    <t>Front system compliance (CP6160-2/3S7MPD)</t>
  </si>
  <si>
    <t>Rear system compliance (CP6078)</t>
  </si>
  <si>
    <t>3.5g @250km/h 37000N</t>
  </si>
  <si>
    <t>58.4+2</t>
  </si>
  <si>
    <t>77.7+5</t>
  </si>
  <si>
    <t>packer gap</t>
  </si>
  <si>
    <t>FL</t>
  </si>
  <si>
    <t>FR</t>
  </si>
  <si>
    <t>RL</t>
  </si>
  <si>
    <t>RR</t>
  </si>
  <si>
    <t>FC</t>
  </si>
  <si>
    <t>RC</t>
  </si>
  <si>
    <t>type 1</t>
  </si>
  <si>
    <t>01262S-70 (49.8/49.4)</t>
  </si>
  <si>
    <t>01262S-70 (41.1/44.8)</t>
  </si>
  <si>
    <t>9  Hz (40.8)</t>
  </si>
  <si>
    <t>6 Hz (27.9)</t>
  </si>
  <si>
    <t>58.3 (spacer 30.5)</t>
  </si>
  <si>
    <t>20.51/20.91+B.Stop+Cup</t>
  </si>
  <si>
    <t>38.1/34.4+ B.Stop+Cup</t>
  </si>
  <si>
    <t>Cup Thick</t>
  </si>
  <si>
    <t>B.Stop thick</t>
  </si>
  <si>
    <t>3 (outward)</t>
  </si>
  <si>
    <t>bar 3 (hard/red?)</t>
  </si>
  <si>
    <t>12 | 14</t>
  </si>
  <si>
    <t>13 | 14</t>
  </si>
  <si>
    <t>9 | 12</t>
  </si>
  <si>
    <t>12 | 12</t>
  </si>
  <si>
    <t>7 | 2</t>
  </si>
  <si>
    <t>9 | 2</t>
  </si>
  <si>
    <t>8 | 10</t>
  </si>
  <si>
    <t>15 | 16</t>
  </si>
  <si>
    <t>16 | 17</t>
  </si>
  <si>
    <t>4 | 1</t>
  </si>
  <si>
    <t>6 | 12</t>
  </si>
  <si>
    <t>LOWER</t>
  </si>
  <si>
    <t>#7</t>
  </si>
  <si>
    <t>9 (from rearward hole)</t>
  </si>
  <si>
    <t>Packer L</t>
  </si>
  <si>
    <t>Packer R</t>
  </si>
  <si>
    <t>Free shaft</t>
  </si>
  <si>
    <t>Stack Length</t>
  </si>
  <si>
    <t>From CAD</t>
  </si>
  <si>
    <r>
      <t xml:space="preserve">Computed from </t>
    </r>
    <r>
      <rPr>
        <b/>
        <sz val="10"/>
        <color theme="1"/>
        <rFont val="Calibri"/>
        <family val="2"/>
        <scheme val="minor"/>
      </rPr>
      <t>fully closed</t>
    </r>
  </si>
  <si>
    <t>007C - Car 1</t>
  </si>
  <si>
    <t>Set down VAL21T03</t>
  </si>
  <si>
    <t>Design values</t>
  </si>
  <si>
    <t>13.3 + 6.8</t>
  </si>
  <si>
    <t>13.7 + 6.6</t>
  </si>
  <si>
    <t>-2.2 max</t>
  </si>
  <si>
    <t>Set up (real)</t>
  </si>
  <si>
    <t>Toe shims</t>
  </si>
  <si>
    <t>With Alessio and ballast</t>
  </si>
  <si>
    <t>Set up (target)</t>
  </si>
  <si>
    <t>Offset</t>
  </si>
  <si>
    <t>Minimum slip</t>
  </si>
  <si>
    <t>Gain Fy</t>
  </si>
  <si>
    <t>Gain Fz</t>
  </si>
  <si>
    <t>Base map (DRY)</t>
  </si>
  <si>
    <t>Fz</t>
  </si>
  <si>
    <t>Fy</t>
  </si>
  <si>
    <t>Compesated (DRY)</t>
  </si>
  <si>
    <t>Maximum slip</t>
  </si>
  <si>
    <t>21T03</t>
  </si>
  <si>
    <t>21T03b_1</t>
  </si>
  <si>
    <t>Loadcells</t>
  </si>
  <si>
    <t>q</t>
  </si>
  <si>
    <t>Average axle</t>
  </si>
  <si>
    <t>Fit Ground [N] / Pushrod [N]</t>
  </si>
  <si>
    <t>Track +3mm per side front and rear</t>
  </si>
  <si>
    <t>Full fuel tank</t>
  </si>
  <si>
    <t>Slow airjack air release</t>
  </si>
  <si>
    <t>Tot weight</t>
  </si>
  <si>
    <t>Weight dis</t>
  </si>
  <si>
    <t>*pc was leaning on the car, no driver</t>
  </si>
  <si>
    <t>V 1F</t>
  </si>
  <si>
    <t>Min slip 2</t>
  </si>
  <si>
    <t>FP2-1</t>
  </si>
  <si>
    <t>FP2-2</t>
  </si>
  <si>
    <t>Calipers</t>
  </si>
  <si>
    <t>21T04</t>
  </si>
  <si>
    <t>21T05</t>
  </si>
  <si>
    <t>Camber shims</t>
  </si>
  <si>
    <t>Pre-Set up</t>
  </si>
  <si>
    <t>Set down Day1</t>
  </si>
  <si>
    <t>3rd Elements</t>
  </si>
  <si>
    <t>Check camber with inclinometer</t>
  </si>
  <si>
    <t>(13)</t>
  </si>
  <si>
    <t>(13.57)</t>
  </si>
  <si>
    <t>Shims sensitivity</t>
  </si>
  <si>
    <t>Toe [mm shim / mm toe]</t>
  </si>
  <si>
    <t>Pushrod [mm shim / mm RH]</t>
  </si>
  <si>
    <t>Camber [mm shim / deg camber]</t>
  </si>
  <si>
    <t>-2.1 (-1.5)</t>
  </si>
  <si>
    <t>-2.3 (-2.2)</t>
  </si>
  <si>
    <t>13.77+6.5</t>
  </si>
  <si>
    <t>13.51+6.47</t>
  </si>
  <si>
    <t>6Hz @ 26.9</t>
  </si>
  <si>
    <t>0.704 mm / (mm RH)</t>
  </si>
  <si>
    <t>0.44 mm / (mm RH)</t>
  </si>
  <si>
    <r>
      <t xml:space="preserve">Damper clicks </t>
    </r>
    <r>
      <rPr>
        <b/>
        <sz val="11"/>
        <color rgb="FFFF0000"/>
        <rFont val="Calibri"/>
        <family val="2"/>
        <scheme val="minor"/>
      </rPr>
      <t>OPEN</t>
    </r>
  </si>
  <si>
    <r>
      <t xml:space="preserve">9Hz @ </t>
    </r>
    <r>
      <rPr>
        <sz val="11"/>
        <color rgb="FFFF0000"/>
        <rFont val="Calibri"/>
        <family val="2"/>
        <scheme val="minor"/>
      </rPr>
      <t>33.1</t>
    </r>
  </si>
  <si>
    <r>
      <t xml:space="preserve">9Hz @ </t>
    </r>
    <r>
      <rPr>
        <b/>
        <sz val="11"/>
        <rFont val="Calibri"/>
        <family val="2"/>
        <scheme val="minor"/>
      </rPr>
      <t>43.35</t>
    </r>
  </si>
  <si>
    <r>
      <t xml:space="preserve">6Hz @ </t>
    </r>
    <r>
      <rPr>
        <b/>
        <sz val="11"/>
        <color theme="1"/>
        <rFont val="Calibri"/>
        <family val="2"/>
        <scheme val="minor"/>
      </rPr>
      <t>24.4</t>
    </r>
  </si>
  <si>
    <t>NO DRIVER</t>
  </si>
  <si>
    <t>IN THE CAR</t>
  </si>
  <si>
    <t>SUM</t>
  </si>
  <si>
    <t>scales</t>
  </si>
  <si>
    <t>Total Weight</t>
  </si>
  <si>
    <t>Reference for SetDown day1</t>
  </si>
  <si>
    <t>Set down</t>
  </si>
  <si>
    <t>Weights from</t>
  </si>
  <si>
    <t>last data Day2</t>
  </si>
  <si>
    <t>Probably weight overestimated</t>
  </si>
  <si>
    <t>16 kg fuel inside the car</t>
  </si>
  <si>
    <t>Check during day 1 VAL21T05</t>
  </si>
  <si>
    <t>Set down lunch</t>
  </si>
  <si>
    <t>Day1 21T05</t>
  </si>
  <si>
    <t>Setup lunch</t>
  </si>
  <si>
    <r>
      <rPr>
        <b/>
        <sz val="11"/>
        <color theme="1"/>
        <rFont val="Calibri"/>
        <family val="2"/>
        <scheme val="minor"/>
      </rPr>
      <t>Setdown</t>
    </r>
    <r>
      <rPr>
        <sz val="11"/>
        <color theme="1"/>
        <rFont val="Calibri"/>
        <family val="2"/>
        <scheme val="minor"/>
      </rPr>
      <t xml:space="preserve"> </t>
    </r>
  </si>
  <si>
    <t>TOT</t>
  </si>
  <si>
    <t>Setup</t>
  </si>
  <si>
    <t>Day2 21T05</t>
  </si>
  <si>
    <t>13.82+6.5</t>
  </si>
  <si>
    <t>13.33+6.47</t>
  </si>
  <si>
    <t>14.78+6.5</t>
  </si>
  <si>
    <t>13.81+6.47</t>
  </si>
  <si>
    <r>
      <t xml:space="preserve">Damper clicks </t>
    </r>
    <r>
      <rPr>
        <b/>
        <sz val="11"/>
        <color rgb="FFFF0000"/>
        <rFont val="Calibri"/>
        <family val="2"/>
        <scheme val="minor"/>
      </rPr>
      <t>TO CHECK</t>
    </r>
  </si>
  <si>
    <t>BoP power (kW)</t>
  </si>
  <si>
    <t>Type 3</t>
  </si>
  <si>
    <t>8 + solid</t>
  </si>
  <si>
    <t>7.85 + solid</t>
  </si>
  <si>
    <t>?</t>
  </si>
  <si>
    <t>007C #708</t>
  </si>
  <si>
    <t>G</t>
  </si>
  <si>
    <t>Blanking</t>
  </si>
  <si>
    <t>Brake paint</t>
  </si>
  <si>
    <t>DRIVER</t>
  </si>
  <si>
    <t>DATE</t>
  </si>
  <si>
    <t>PEDALBOX</t>
  </si>
  <si>
    <t>PARAMETER</t>
  </si>
  <si>
    <t>UNIT</t>
  </si>
  <si>
    <t>NOTES</t>
  </si>
  <si>
    <t>PEDALBOX POSITION</t>
  </si>
  <si>
    <t>holes from most fwd</t>
  </si>
  <si>
    <t>FWD BOLT</t>
  </si>
  <si>
    <t>EXTENSION OPTION</t>
  </si>
  <si>
    <t>TYPE 7</t>
  </si>
  <si>
    <t>option</t>
  </si>
  <si>
    <t>148.5mm</t>
  </si>
  <si>
    <t>FOOTREST POSITION</t>
  </si>
  <si>
    <t>HEELREST SHIM STACK</t>
  </si>
  <si>
    <t>BRAKE PEDAL PAD SHIM STACK</t>
  </si>
  <si>
    <t>BRAKE PEDAL PLAFTORM LATERAL POSITION</t>
  </si>
  <si>
    <t>mm from center</t>
  </si>
  <si>
    <t>LEFT HOLE</t>
  </si>
  <si>
    <t>FRONT MASTER CYLINDER</t>
  </si>
  <si>
    <t>REAR MASTER CYLINDER</t>
  </si>
  <si>
    <t>THROTTLE PEDAL PAD SHIMS THICKNESS</t>
  </si>
  <si>
    <t>THROTTLE PEDAL PLAFTORM LATERAL POSITION</t>
  </si>
  <si>
    <t>THROTTLE SPRING OPTION</t>
  </si>
  <si>
    <t>THROTTLE PACKER STACK</t>
  </si>
  <si>
    <t>STEERING WHEEL</t>
  </si>
  <si>
    <t>STEERING WHEEL SPACER STACK</t>
  </si>
  <si>
    <t>SEAT</t>
  </si>
  <si>
    <t>Seat main insert</t>
  </si>
  <si>
    <t>Seat specific insert</t>
  </si>
  <si>
    <t>SEAT-BELTS</t>
  </si>
  <si>
    <t>ROMAIN DUMAS</t>
  </si>
  <si>
    <t>Shoulder</t>
  </si>
  <si>
    <t>Left</t>
  </si>
  <si>
    <t>Crotch</t>
  </si>
  <si>
    <t>42 + 35</t>
  </si>
  <si>
    <t>0.66 inches</t>
  </si>
  <si>
    <t>0.75 inches</t>
  </si>
  <si>
    <t>hole from most top</t>
  </si>
  <si>
    <t>hole from most rearward</t>
  </si>
  <si>
    <t>COCKPIT INSTALLATION SHEET - #709</t>
  </si>
  <si>
    <t>Throttle pedal springs</t>
  </si>
  <si>
    <t>007C-090221A</t>
  </si>
  <si>
    <t>Part Number</t>
  </si>
  <si>
    <t>K [N/mm]</t>
  </si>
  <si>
    <t>007C-090373A</t>
  </si>
  <si>
    <t>007C-090375A</t>
  </si>
  <si>
    <t>007C-090377A</t>
  </si>
  <si>
    <t>007C-090379A</t>
  </si>
  <si>
    <t>007C-090381A</t>
  </si>
  <si>
    <t>007C-090383A</t>
  </si>
  <si>
    <t>007C-090385A</t>
  </si>
  <si>
    <t>Color</t>
  </si>
  <si>
    <t>WHITE</t>
  </si>
  <si>
    <t>VIOLET</t>
  </si>
  <si>
    <t>LIGHT BLUE</t>
  </si>
  <si>
    <t>BLUE</t>
  </si>
  <si>
    <t>GREEN</t>
  </si>
  <si>
    <t>YELLOW</t>
  </si>
  <si>
    <t>ORANGE</t>
  </si>
  <si>
    <t>RED</t>
  </si>
  <si>
    <t>Steering wheel spacers</t>
  </si>
  <si>
    <t>1.28*</t>
  </si>
  <si>
    <t>*Fit with 25x35x1mm shim between spring and perch</t>
  </si>
  <si>
    <t>007C-0300551A</t>
  </si>
  <si>
    <t>007C-0300705A</t>
  </si>
  <si>
    <t>007C-0300707A</t>
  </si>
  <si>
    <t>007C-0300709A</t>
  </si>
  <si>
    <t>007C-0300711A</t>
  </si>
  <si>
    <t>007C-0300549A</t>
  </si>
  <si>
    <t>007C-0300713A</t>
  </si>
  <si>
    <t>Seats</t>
  </si>
  <si>
    <t>Main</t>
  </si>
  <si>
    <t>Add-On</t>
  </si>
  <si>
    <t>Romain Dumas</t>
  </si>
  <si>
    <t>Rayan Briscoe</t>
  </si>
  <si>
    <t>Olivier Pla</t>
  </si>
  <si>
    <t>Gustavo Menezes</t>
  </si>
  <si>
    <t>Franck Mailleaux</t>
  </si>
  <si>
    <t>Pipo Derani</t>
  </si>
  <si>
    <t>Richard Westbrook</t>
  </si>
  <si>
    <t>Thickness [mm]</t>
  </si>
  <si>
    <t>1.28 N/mm + 1mm shim</t>
  </si>
  <si>
    <t>Bumpstop (droop gap)</t>
  </si>
  <si>
    <t>BoP ballast</t>
  </si>
  <si>
    <t>Pedalbox ballast</t>
  </si>
  <si>
    <t>Gearbox ballast</t>
  </si>
  <si>
    <t>P21-05</t>
  </si>
  <si>
    <t>007C #709</t>
  </si>
  <si>
    <t>1324 001</t>
  </si>
  <si>
    <t>2 - Short</t>
  </si>
  <si>
    <r>
      <t xml:space="preserve">Ride height (BEAM)
</t>
    </r>
    <r>
      <rPr>
        <b/>
        <sz val="10"/>
        <color rgb="FFFFFF00"/>
        <rFont val="Calibri"/>
        <family val="2"/>
        <scheme val="minor"/>
      </rPr>
      <t>(target in pitlane)</t>
    </r>
  </si>
  <si>
    <t>0deg Roll</t>
  </si>
  <si>
    <t>0deg Yaw</t>
  </si>
  <si>
    <t>Cz Tot</t>
  </si>
  <si>
    <t>AERO HOMOLOGATION - MAXIMUM FRONT FLAP (+4.5deg) - REMOVE 5% Czf at flap 0</t>
  </si>
  <si>
    <t>4th WT session (60% model scale) + offset for car build spec and rolling resistance</t>
  </si>
  <si>
    <t>hard (42.3 - BLUE)</t>
  </si>
  <si>
    <t>soft (35.4 - GREEN)</t>
  </si>
  <si>
    <t>Toe shim / Camber shim [mm shim / mm shim]</t>
  </si>
  <si>
    <t>Day1 21T06</t>
  </si>
  <si>
    <t>Setup ballast</t>
  </si>
  <si>
    <t>Setup wheel offset</t>
  </si>
  <si>
    <t>Packer gap static</t>
  </si>
  <si>
    <r>
      <t>Packer</t>
    </r>
    <r>
      <rPr>
        <sz val="11"/>
        <color theme="1"/>
        <rFont val="Calibri"/>
        <family val="2"/>
        <scheme val="minor"/>
      </rPr>
      <t xml:space="preserve"> (with b.stop)</t>
    </r>
  </si>
  <si>
    <t>9.9 kg</t>
  </si>
  <si>
    <t>11.3 kg</t>
  </si>
  <si>
    <t>3rd element gap</t>
  </si>
  <si>
    <t>Static</t>
  </si>
  <si>
    <t>Tot</t>
  </si>
  <si>
    <t>100 Nm (XX bar air)</t>
  </si>
  <si>
    <t>Car 708</t>
  </si>
  <si>
    <t>0500.200.0949</t>
  </si>
  <si>
    <t>3.51 + 613</t>
  </si>
  <si>
    <t>3.49 + 613</t>
  </si>
  <si>
    <t>2.73 + 357</t>
  </si>
  <si>
    <t>2.78 + 357</t>
  </si>
  <si>
    <t>65 (249)</t>
  </si>
  <si>
    <t>85 (305.9)</t>
  </si>
  <si>
    <t>Lower Front</t>
  </si>
  <si>
    <t>Lower Rear</t>
  </si>
  <si>
    <t>Upper Front</t>
  </si>
  <si>
    <t>Front axle</t>
  </si>
  <si>
    <t>Rear axle</t>
  </si>
  <si>
    <t>Full soft</t>
  </si>
  <si>
    <t>Outer-Soft</t>
  </si>
  <si>
    <t>0400.200.0950</t>
  </si>
  <si>
    <t>01262S-70 (37mm)</t>
  </si>
  <si>
    <t>35.4 + bumpstop</t>
  </si>
  <si>
    <t>01262S-80 (50mm)</t>
  </si>
  <si>
    <t>31.4 + bumpstop</t>
  </si>
  <si>
    <t>9Hz (52.0mm)</t>
  </si>
  <si>
    <t>6Hz (38.0mm)</t>
  </si>
  <si>
    <t>Bump LS</t>
  </si>
  <si>
    <t>Bump HS</t>
  </si>
  <si>
    <t>Rebound LS</t>
  </si>
  <si>
    <t>Rebound HS</t>
  </si>
  <si>
    <t>10</t>
  </si>
  <si>
    <t>14</t>
  </si>
  <si>
    <t>9</t>
  </si>
  <si>
    <t>5</t>
  </si>
  <si>
    <t>0 Front</t>
  </si>
  <si>
    <t>0 Rear</t>
  </si>
  <si>
    <t>4.5°</t>
  </si>
  <si>
    <t xml:space="preserve">  Damper length:  </t>
  </si>
  <si>
    <t>P21-02</t>
  </si>
  <si>
    <t>1324 002</t>
  </si>
  <si>
    <t>21R03: MONZA</t>
  </si>
  <si>
    <t>FP1 INITIAL SET-UP</t>
  </si>
  <si>
    <t>Canopy_Long</t>
  </si>
  <si>
    <t>Canopy_Short</t>
  </si>
  <si>
    <t>Test Day Initial Set-Up</t>
  </si>
  <si>
    <t>21R04: 24H Le Mans</t>
  </si>
  <si>
    <t>was -3</t>
  </si>
  <si>
    <t>was +1</t>
  </si>
  <si>
    <t>RH in Pitlane</t>
  </si>
  <si>
    <t>Pitlane off</t>
  </si>
  <si>
    <t>spr 950</t>
  </si>
  <si>
    <t>spr 1100</t>
  </si>
  <si>
    <t>P.rod spacers</t>
  </si>
  <si>
    <t>0600.200.1350</t>
  </si>
  <si>
    <t>708 Set up FP1</t>
  </si>
  <si>
    <t>1350 springs</t>
  </si>
  <si>
    <t>1200 springs</t>
  </si>
  <si>
    <t>Rear spring spacer 46.1 mm</t>
  </si>
  <si>
    <t>Rear spring spacer 47.7 mm</t>
  </si>
  <si>
    <t>613+1.2</t>
  </si>
  <si>
    <t>357+6.4</t>
  </si>
  <si>
    <t>357+7</t>
  </si>
  <si>
    <t>708 Set down FP1</t>
  </si>
  <si>
    <t>708 Set up FP2</t>
  </si>
  <si>
    <t>613+1.8</t>
  </si>
  <si>
    <t>357+7.44</t>
  </si>
  <si>
    <t>613+2.7</t>
  </si>
  <si>
    <t>708 Set up FP3</t>
  </si>
  <si>
    <t>357+4.7</t>
  </si>
  <si>
    <t>708 Set down FP3</t>
  </si>
  <si>
    <t>613+2.77</t>
  </si>
  <si>
    <t>357+4.8</t>
  </si>
  <si>
    <t>708 Set up Hyperple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</si>
</sst>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0.0"/>
    <numFmt numFmtId="167" formatCode="0.0000"/>
  </numFmts>
  <fonts count="7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.5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3F3F76"/>
      <name val="Calibri"/>
      <family val="2"/>
    </font>
    <font>
      <strike/>
      <sz val="11"/>
      <color theme="1"/>
      <name val="Calibri"/>
      <family val="2"/>
      <scheme val="minor"/>
    </font>
    <font>
      <i/>
      <strike/>
      <sz val="11"/>
      <color rgb="FF7F7F7F"/>
      <name val="Calibri"/>
      <family val="2"/>
      <scheme val="minor"/>
    </font>
    <font>
      <i/>
      <strike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i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4"/>
      <name val="Calibri"/>
      <family val="2"/>
    </font>
    <font>
      <sz val="11"/>
      <color theme="5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theme="0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5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FF00FF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sz val="11"/>
      <color rgb="FFFF00FF"/>
      <name val="Calibri"/>
      <family val="2"/>
      <scheme val="minor"/>
    </font>
    <font>
      <b/>
      <sz val="11"/>
      <color rgb="FFFF00FF"/>
      <name val="Calibri"/>
      <family val="2"/>
      <scheme val="minor"/>
    </font>
    <font>
      <i/>
      <sz val="11"/>
      <color theme="6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</font>
    <font>
      <b/>
      <sz val="12"/>
      <color rgb="FFFF0000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14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/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auto="1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rgb="FF3F3F3F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  <xf numFmtId="0" fontId="5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" fillId="0" borderId="142" applyNumberFormat="0" applyFill="0" applyAlignment="0" applyProtection="0"/>
  </cellStyleXfs>
  <cellXfs count="1252">
    <xf numFmtId="0" fontId="0" fillId="0" borderId="0" xfId="0"/>
    <xf numFmtId="0" fontId="9" fillId="0" borderId="0" xfId="0" applyFont="1"/>
    <xf numFmtId="0" fontId="8" fillId="8" borderId="6" xfId="0" applyFont="1" applyFill="1" applyBorder="1"/>
    <xf numFmtId="0" fontId="8" fillId="8" borderId="9" xfId="0" applyFont="1" applyFill="1" applyBorder="1" applyAlignment="1">
      <alignment horizontal="left"/>
    </xf>
    <xf numFmtId="0" fontId="8" fillId="8" borderId="11" xfId="0" applyFont="1" applyFill="1" applyBorder="1"/>
    <xf numFmtId="0" fontId="8" fillId="8" borderId="0" xfId="0" applyFont="1" applyFill="1" applyAlignment="1">
      <alignment horizontal="left"/>
    </xf>
    <xf numFmtId="0" fontId="8" fillId="8" borderId="15" xfId="0" applyFont="1" applyFill="1" applyBorder="1"/>
    <xf numFmtId="0" fontId="8" fillId="8" borderId="18" xfId="0" applyFont="1" applyFill="1" applyBorder="1" applyAlignment="1">
      <alignment horizontal="left"/>
    </xf>
    <xf numFmtId="0" fontId="8" fillId="8" borderId="9" xfId="0" applyFont="1" applyFill="1" applyBorder="1"/>
    <xf numFmtId="0" fontId="8" fillId="8" borderId="20" xfId="0" applyFont="1" applyFill="1" applyBorder="1"/>
    <xf numFmtId="0" fontId="9" fillId="0" borderId="21" xfId="0" applyFont="1" applyBorder="1"/>
    <xf numFmtId="0" fontId="9" fillId="0" borderId="22" xfId="0" applyFont="1" applyBorder="1"/>
    <xf numFmtId="0" fontId="9" fillId="10" borderId="11" xfId="0" applyFont="1" applyFill="1" applyBorder="1"/>
    <xf numFmtId="0" fontId="9" fillId="11" borderId="29" xfId="0" applyFont="1" applyFill="1" applyBorder="1"/>
    <xf numFmtId="0" fontId="9" fillId="10" borderId="0" xfId="0" applyFont="1" applyFill="1"/>
    <xf numFmtId="0" fontId="9" fillId="11" borderId="30" xfId="0" applyFont="1" applyFill="1" applyBorder="1"/>
    <xf numFmtId="0" fontId="9" fillId="0" borderId="15" xfId="0" applyFont="1" applyBorder="1"/>
    <xf numFmtId="0" fontId="9" fillId="11" borderId="21" xfId="0" applyFont="1" applyFill="1" applyBorder="1"/>
    <xf numFmtId="0" fontId="9" fillId="0" borderId="18" xfId="0" applyFont="1" applyBorder="1"/>
    <xf numFmtId="0" fontId="8" fillId="9" borderId="9" xfId="0" applyFont="1" applyFill="1" applyBorder="1"/>
    <xf numFmtId="0" fontId="9" fillId="9" borderId="20" xfId="0" applyFont="1" applyFill="1" applyBorder="1"/>
    <xf numFmtId="0" fontId="9" fillId="9" borderId="11" xfId="0" applyFont="1" applyFill="1" applyBorder="1"/>
    <xf numFmtId="0" fontId="9" fillId="9" borderId="0" xfId="0" applyFont="1" applyFill="1"/>
    <xf numFmtId="0" fontId="9" fillId="9" borderId="31" xfId="0" applyFont="1" applyFill="1" applyBorder="1"/>
    <xf numFmtId="0" fontId="9" fillId="9" borderId="15" xfId="0" applyFont="1" applyFill="1" applyBorder="1"/>
    <xf numFmtId="0" fontId="8" fillId="9" borderId="18" xfId="0" applyFont="1" applyFill="1" applyBorder="1"/>
    <xf numFmtId="0" fontId="8" fillId="9" borderId="34" xfId="0" applyFont="1" applyFill="1" applyBorder="1"/>
    <xf numFmtId="0" fontId="8" fillId="9" borderId="9" xfId="0" applyFont="1" applyFill="1" applyBorder="1" applyAlignment="1">
      <alignment vertical="center"/>
    </xf>
    <xf numFmtId="0" fontId="8" fillId="9" borderId="10" xfId="0" applyFont="1" applyFill="1" applyBorder="1"/>
    <xf numFmtId="0" fontId="8" fillId="9" borderId="11" xfId="0" applyFont="1" applyFill="1" applyBorder="1"/>
    <xf numFmtId="0" fontId="8" fillId="9" borderId="0" xfId="0" applyFont="1" applyFill="1" applyAlignment="1">
      <alignment vertical="center"/>
    </xf>
    <xf numFmtId="0" fontId="9" fillId="0" borderId="37" xfId="0" applyFont="1" applyBorder="1"/>
    <xf numFmtId="0" fontId="8" fillId="9" borderId="15" xfId="0" applyFont="1" applyFill="1" applyBorder="1"/>
    <xf numFmtId="0" fontId="9" fillId="9" borderId="9" xfId="0" applyFont="1" applyFill="1" applyBorder="1"/>
    <xf numFmtId="0" fontId="9" fillId="9" borderId="18" xfId="0" applyFont="1" applyFill="1" applyBorder="1"/>
    <xf numFmtId="0" fontId="11" fillId="9" borderId="6" xfId="0" applyFont="1" applyFill="1" applyBorder="1"/>
    <xf numFmtId="0" fontId="12" fillId="8" borderId="6" xfId="0" applyFont="1" applyFill="1" applyBorder="1"/>
    <xf numFmtId="0" fontId="8" fillId="9" borderId="34" xfId="0" applyFont="1" applyFill="1" applyBorder="1" applyAlignment="1">
      <alignment horizontal="left" vertical="center"/>
    </xf>
    <xf numFmtId="0" fontId="8" fillId="9" borderId="10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9" fillId="9" borderId="40" xfId="0" applyFont="1" applyFill="1" applyBorder="1"/>
    <xf numFmtId="0" fontId="9" fillId="9" borderId="19" xfId="0" applyFont="1" applyFill="1" applyBorder="1"/>
    <xf numFmtId="0" fontId="8" fillId="8" borderId="3" xfId="0" applyFont="1" applyFill="1" applyBorder="1"/>
    <xf numFmtId="0" fontId="9" fillId="0" borderId="5" xfId="0" applyFont="1" applyBorder="1"/>
    <xf numFmtId="0" fontId="9" fillId="9" borderId="4" xfId="0" applyFont="1" applyFill="1" applyBorder="1"/>
    <xf numFmtId="0" fontId="9" fillId="9" borderId="5" xfId="0" applyFont="1" applyFill="1" applyBorder="1"/>
    <xf numFmtId="0" fontId="9" fillId="0" borderId="4" xfId="0" applyFont="1" applyBorder="1"/>
    <xf numFmtId="0" fontId="8" fillId="9" borderId="0" xfId="0" applyFont="1" applyFill="1"/>
    <xf numFmtId="0" fontId="9" fillId="9" borderId="41" xfId="0" applyFont="1" applyFill="1" applyBorder="1"/>
    <xf numFmtId="0" fontId="8" fillId="9" borderId="12" xfId="0" applyFont="1" applyFill="1" applyBorder="1"/>
    <xf numFmtId="0" fontId="8" fillId="9" borderId="32" xfId="0" applyFont="1" applyFill="1" applyBorder="1"/>
    <xf numFmtId="0" fontId="8" fillId="9" borderId="18" xfId="0" applyFont="1" applyFill="1" applyBorder="1" applyAlignment="1">
      <alignment horizontal="left" vertical="center"/>
    </xf>
    <xf numFmtId="0" fontId="8" fillId="8" borderId="4" xfId="0" applyFont="1" applyFill="1" applyBorder="1"/>
    <xf numFmtId="0" fontId="9" fillId="0" borderId="9" xfId="0" applyFont="1" applyBorder="1"/>
    <xf numFmtId="0" fontId="9" fillId="0" borderId="17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12" borderId="21" xfId="0" applyFont="1" applyFill="1" applyBorder="1"/>
    <xf numFmtId="0" fontId="9" fillId="0" borderId="35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3" fillId="11" borderId="29" xfId="0" applyFont="1" applyFill="1" applyBorder="1" applyAlignment="1">
      <alignment horizontal="center"/>
    </xf>
    <xf numFmtId="0" fontId="13" fillId="0" borderId="25" xfId="0" applyFont="1" applyBorder="1" applyAlignment="1">
      <alignment horizontal="center" vertical="center"/>
    </xf>
    <xf numFmtId="0" fontId="0" fillId="0" borderId="46" xfId="0" applyBorder="1"/>
    <xf numFmtId="0" fontId="0" fillId="0" borderId="47" xfId="0" applyBorder="1"/>
    <xf numFmtId="0" fontId="0" fillId="0" borderId="0" xfId="0" applyAlignment="1">
      <alignment horizontal="center"/>
    </xf>
    <xf numFmtId="0" fontId="0" fillId="0" borderId="20" xfId="0" applyBorder="1"/>
    <xf numFmtId="0" fontId="6" fillId="0" borderId="62" xfId="0" applyFont="1" applyBorder="1"/>
    <xf numFmtId="0" fontId="0" fillId="0" borderId="62" xfId="0" applyBorder="1"/>
    <xf numFmtId="0" fontId="6" fillId="0" borderId="3" xfId="0" applyFont="1" applyBorder="1" applyAlignment="1">
      <alignment horizontal="center"/>
    </xf>
    <xf numFmtId="0" fontId="0" fillId="0" borderId="14" xfId="0" applyBorder="1"/>
    <xf numFmtId="0" fontId="0" fillId="0" borderId="19" xfId="0" applyBorder="1"/>
    <xf numFmtId="0" fontId="0" fillId="0" borderId="0" xfId="0"/>
    <xf numFmtId="0" fontId="6" fillId="0" borderId="6" xfId="0" applyFont="1" applyBorder="1"/>
    <xf numFmtId="0" fontId="6" fillId="0" borderId="9" xfId="0" applyFont="1" applyBorder="1"/>
    <xf numFmtId="0" fontId="6" fillId="0" borderId="11" xfId="0" applyFont="1" applyBorder="1"/>
    <xf numFmtId="0" fontId="6" fillId="0" borderId="0" xfId="0" applyFont="1" applyBorder="1"/>
    <xf numFmtId="0" fontId="0" fillId="0" borderId="32" xfId="0" applyBorder="1"/>
    <xf numFmtId="0" fontId="6" fillId="0" borderId="0" xfId="0" applyFont="1"/>
    <xf numFmtId="0" fontId="0" fillId="0" borderId="0" xfId="0" applyBorder="1"/>
    <xf numFmtId="0" fontId="6" fillId="0" borderId="44" xfId="0" applyFont="1" applyBorder="1"/>
    <xf numFmtId="0" fontId="0" fillId="0" borderId="51" xfId="0" applyBorder="1"/>
    <xf numFmtId="0" fontId="0" fillId="0" borderId="53" xfId="0" applyBorder="1"/>
    <xf numFmtId="0" fontId="0" fillId="0" borderId="0" xfId="0" applyAlignment="1">
      <alignment horizontal="right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1" xfId="0" applyBorder="1"/>
    <xf numFmtId="0" fontId="0" fillId="0" borderId="15" xfId="0" applyBorder="1"/>
    <xf numFmtId="0" fontId="0" fillId="0" borderId="18" xfId="0" applyBorder="1"/>
    <xf numFmtId="0" fontId="0" fillId="0" borderId="33" xfId="0" applyBorder="1"/>
    <xf numFmtId="0" fontId="20" fillId="0" borderId="0" xfId="0" applyFont="1"/>
    <xf numFmtId="0" fontId="0" fillId="0" borderId="55" xfId="0" applyBorder="1"/>
    <xf numFmtId="0" fontId="0" fillId="0" borderId="56" xfId="0" applyBorder="1"/>
    <xf numFmtId="0" fontId="6" fillId="0" borderId="0" xfId="0" applyFont="1" applyAlignment="1">
      <alignment horizontal="right"/>
    </xf>
    <xf numFmtId="0" fontId="6" fillId="0" borderId="46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0" fillId="27" borderId="0" xfId="0" applyFill="1" applyAlignment="1">
      <alignment horizontal="center"/>
    </xf>
    <xf numFmtId="9" fontId="0" fillId="27" borderId="0" xfId="1" applyFont="1" applyFill="1" applyBorder="1" applyAlignment="1">
      <alignment horizontal="center"/>
    </xf>
    <xf numFmtId="2" fontId="4" fillId="27" borderId="0" xfId="0" applyNumberFormat="1" applyFont="1" applyFill="1" applyAlignment="1">
      <alignment horizontal="center"/>
    </xf>
    <xf numFmtId="0" fontId="4" fillId="27" borderId="51" xfId="0" applyFont="1" applyFill="1" applyBorder="1" applyAlignment="1">
      <alignment horizontal="center"/>
    </xf>
    <xf numFmtId="2" fontId="0" fillId="27" borderId="0" xfId="0" applyNumberFormat="1" applyFill="1" applyAlignment="1">
      <alignment horizontal="center"/>
    </xf>
    <xf numFmtId="0" fontId="0" fillId="27" borderId="51" xfId="0" applyFill="1" applyBorder="1" applyAlignment="1">
      <alignment horizontal="center"/>
    </xf>
    <xf numFmtId="0" fontId="0" fillId="28" borderId="0" xfId="0" applyFill="1" applyAlignment="1">
      <alignment horizontal="center"/>
    </xf>
    <xf numFmtId="9" fontId="0" fillId="28" borderId="0" xfId="1" applyFont="1" applyFill="1" applyBorder="1" applyAlignment="1">
      <alignment horizontal="center"/>
    </xf>
    <xf numFmtId="2" fontId="0" fillId="28" borderId="0" xfId="0" applyNumberFormat="1" applyFill="1" applyAlignment="1">
      <alignment horizontal="center"/>
    </xf>
    <xf numFmtId="0" fontId="0" fillId="28" borderId="51" xfId="0" applyFill="1" applyBorder="1" applyAlignment="1">
      <alignment horizontal="center"/>
    </xf>
    <xf numFmtId="0" fontId="20" fillId="29" borderId="0" xfId="0" applyFont="1" applyFill="1" applyAlignment="1">
      <alignment horizontal="center"/>
    </xf>
    <xf numFmtId="9" fontId="20" fillId="29" borderId="0" xfId="1" applyFont="1" applyFill="1" applyBorder="1" applyAlignment="1">
      <alignment horizontal="center"/>
    </xf>
    <xf numFmtId="2" fontId="20" fillId="29" borderId="0" xfId="0" applyNumberFormat="1" applyFont="1" applyFill="1" applyAlignment="1">
      <alignment horizontal="center"/>
    </xf>
    <xf numFmtId="0" fontId="20" fillId="29" borderId="51" xfId="0" applyFont="1" applyFill="1" applyBorder="1" applyAlignment="1">
      <alignment horizontal="center"/>
    </xf>
    <xf numFmtId="0" fontId="0" fillId="29" borderId="0" xfId="0" applyFill="1" applyAlignment="1">
      <alignment horizontal="center"/>
    </xf>
    <xf numFmtId="9" fontId="0" fillId="29" borderId="0" xfId="1" applyFont="1" applyFill="1" applyBorder="1" applyAlignment="1">
      <alignment horizontal="center"/>
    </xf>
    <xf numFmtId="2" fontId="0" fillId="29" borderId="0" xfId="0" applyNumberFormat="1" applyFill="1" applyAlignment="1">
      <alignment horizontal="center"/>
    </xf>
    <xf numFmtId="0" fontId="0" fillId="29" borderId="51" xfId="0" applyFill="1" applyBorder="1" applyAlignment="1">
      <alignment horizontal="center"/>
    </xf>
    <xf numFmtId="0" fontId="0" fillId="24" borderId="0" xfId="0" applyFill="1" applyAlignment="1">
      <alignment horizontal="center"/>
    </xf>
    <xf numFmtId="9" fontId="0" fillId="24" borderId="0" xfId="1" applyFont="1" applyFill="1" applyBorder="1" applyAlignment="1">
      <alignment horizontal="center"/>
    </xf>
    <xf numFmtId="2" fontId="0" fillId="24" borderId="0" xfId="0" applyNumberFormat="1" applyFill="1" applyAlignment="1">
      <alignment horizontal="center"/>
    </xf>
    <xf numFmtId="0" fontId="0" fillId="24" borderId="51" xfId="0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51" xfId="0" applyBorder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51" xfId="0" applyNumberFormat="1" applyBorder="1" applyAlignment="1">
      <alignment horizontal="center"/>
    </xf>
    <xf numFmtId="9" fontId="0" fillId="0" borderId="53" xfId="0" applyNumberFormat="1" applyBorder="1" applyAlignment="1">
      <alignment horizontal="center"/>
    </xf>
    <xf numFmtId="2" fontId="0" fillId="0" borderId="54" xfId="0" applyNumberFormat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0" fillId="27" borderId="55" xfId="0" applyFill="1" applyBorder="1" applyAlignment="1">
      <alignment horizontal="center"/>
    </xf>
    <xf numFmtId="0" fontId="0" fillId="28" borderId="55" xfId="0" applyFill="1" applyBorder="1" applyAlignment="1">
      <alignment horizontal="center"/>
    </xf>
    <xf numFmtId="0" fontId="20" fillId="29" borderId="55" xfId="0" applyFont="1" applyFill="1" applyBorder="1" applyAlignment="1">
      <alignment horizontal="center"/>
    </xf>
    <xf numFmtId="0" fontId="0" fillId="29" borderId="55" xfId="0" applyFill="1" applyBorder="1" applyAlignment="1">
      <alignment horizontal="center"/>
    </xf>
    <xf numFmtId="0" fontId="0" fillId="24" borderId="55" xfId="0" applyFill="1" applyBorder="1" applyAlignment="1">
      <alignment horizontal="center"/>
    </xf>
    <xf numFmtId="0" fontId="0" fillId="0" borderId="55" xfId="0" applyBorder="1" applyAlignment="1">
      <alignment horizontal="left"/>
    </xf>
    <xf numFmtId="0" fontId="6" fillId="0" borderId="56" xfId="0" applyFont="1" applyBorder="1"/>
    <xf numFmtId="0" fontId="0" fillId="0" borderId="54" xfId="0" applyBorder="1"/>
    <xf numFmtId="0" fontId="0" fillId="0" borderId="71" xfId="0" applyBorder="1"/>
    <xf numFmtId="0" fontId="0" fillId="0" borderId="49" xfId="0" applyBorder="1"/>
    <xf numFmtId="164" fontId="0" fillId="0" borderId="0" xfId="0" applyNumberFormat="1"/>
    <xf numFmtId="164" fontId="0" fillId="0" borderId="51" xfId="0" applyNumberFormat="1" applyBorder="1"/>
    <xf numFmtId="0" fontId="0" fillId="11" borderId="62" xfId="0" applyFill="1" applyBorder="1"/>
    <xf numFmtId="1" fontId="0" fillId="0" borderId="62" xfId="0" applyNumberFormat="1" applyBorder="1"/>
    <xf numFmtId="0" fontId="0" fillId="0" borderId="72" xfId="0" applyBorder="1"/>
    <xf numFmtId="166" fontId="0" fillId="0" borderId="62" xfId="0" applyNumberFormat="1" applyBorder="1"/>
    <xf numFmtId="166" fontId="0" fillId="0" borderId="72" xfId="0" applyNumberFormat="1" applyBorder="1"/>
    <xf numFmtId="1" fontId="0" fillId="0" borderId="73" xfId="0" applyNumberFormat="1" applyBorder="1"/>
    <xf numFmtId="166" fontId="0" fillId="0" borderId="73" xfId="0" applyNumberFormat="1" applyBorder="1"/>
    <xf numFmtId="166" fontId="0" fillId="0" borderId="74" xfId="0" applyNumberFormat="1" applyBorder="1"/>
    <xf numFmtId="1" fontId="0" fillId="13" borderId="62" xfId="0" applyNumberFormat="1" applyFill="1" applyBorder="1"/>
    <xf numFmtId="1" fontId="0" fillId="13" borderId="73" xfId="0" applyNumberFormat="1" applyFill="1" applyBorder="1"/>
    <xf numFmtId="1" fontId="0" fillId="31" borderId="62" xfId="0" applyNumberFormat="1" applyFill="1" applyBorder="1"/>
    <xf numFmtId="1" fontId="0" fillId="31" borderId="73" xfId="0" applyNumberFormat="1" applyFill="1" applyBorder="1"/>
    <xf numFmtId="1" fontId="0" fillId="0" borderId="62" xfId="0" applyNumberFormat="1" applyFill="1" applyBorder="1"/>
    <xf numFmtId="1" fontId="0" fillId="0" borderId="73" xfId="0" applyNumberFormat="1" applyFill="1" applyBorder="1"/>
    <xf numFmtId="164" fontId="0" fillId="14" borderId="53" xfId="0" applyNumberFormat="1" applyFill="1" applyBorder="1" applyAlignment="1">
      <alignment horizontal="center"/>
    </xf>
    <xf numFmtId="0" fontId="0" fillId="19" borderId="53" xfId="0" applyFill="1" applyBorder="1" applyAlignment="1">
      <alignment horizontal="center"/>
    </xf>
    <xf numFmtId="164" fontId="0" fillId="0" borderId="0" xfId="0" applyNumberFormat="1" applyBorder="1"/>
    <xf numFmtId="0" fontId="0" fillId="0" borderId="0" xfId="0" applyFont="1" applyBorder="1"/>
    <xf numFmtId="164" fontId="0" fillId="14" borderId="0" xfId="0" applyNumberFormat="1" applyFill="1" applyBorder="1" applyAlignment="1">
      <alignment horizontal="center"/>
    </xf>
    <xf numFmtId="0" fontId="0" fillId="19" borderId="0" xfId="0" applyFill="1" applyBorder="1" applyAlignment="1">
      <alignment horizontal="center"/>
    </xf>
    <xf numFmtId="164" fontId="0" fillId="19" borderId="0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6" fillId="20" borderId="0" xfId="0" applyFont="1" applyFill="1" applyAlignment="1">
      <alignment horizontal="left"/>
    </xf>
    <xf numFmtId="0" fontId="0" fillId="20" borderId="0" xfId="0" applyFill="1" applyAlignment="1">
      <alignment horizontal="center"/>
    </xf>
    <xf numFmtId="0" fontId="0" fillId="19" borderId="9" xfId="0" applyFill="1" applyBorder="1"/>
    <xf numFmtId="0" fontId="0" fillId="0" borderId="9" xfId="0" applyBorder="1"/>
    <xf numFmtId="1" fontId="0" fillId="0" borderId="11" xfId="0" applyNumberFormat="1" applyBorder="1"/>
    <xf numFmtId="0" fontId="0" fillId="0" borderId="11" xfId="0" applyBorder="1" applyAlignment="1">
      <alignment horizontal="right"/>
    </xf>
    <xf numFmtId="0" fontId="0" fillId="0" borderId="11" xfId="0" applyFont="1" applyBorder="1"/>
    <xf numFmtId="1" fontId="0" fillId="0" borderId="0" xfId="0" applyNumberFormat="1" applyBorder="1"/>
    <xf numFmtId="2" fontId="0" fillId="0" borderId="0" xfId="0" applyNumberFormat="1" applyBorder="1"/>
    <xf numFmtId="167" fontId="0" fillId="19" borderId="0" xfId="0" applyNumberFormat="1" applyFill="1" applyBorder="1"/>
    <xf numFmtId="164" fontId="0" fillId="19" borderId="0" xfId="0" applyNumberFormat="1" applyFill="1" applyBorder="1"/>
    <xf numFmtId="0" fontId="0" fillId="0" borderId="0" xfId="0" quotePrefix="1"/>
    <xf numFmtId="0" fontId="22" fillId="15" borderId="44" xfId="0" applyFont="1" applyFill="1" applyBorder="1"/>
    <xf numFmtId="0" fontId="22" fillId="0" borderId="45" xfId="0" applyFont="1" applyBorder="1"/>
    <xf numFmtId="0" fontId="23" fillId="0" borderId="46" xfId="0" applyFont="1" applyBorder="1"/>
    <xf numFmtId="0" fontId="22" fillId="0" borderId="46" xfId="0" applyFont="1" applyBorder="1"/>
    <xf numFmtId="0" fontId="22" fillId="0" borderId="47" xfId="0" applyFont="1" applyBorder="1"/>
    <xf numFmtId="0" fontId="22" fillId="0" borderId="48" xfId="0" applyFont="1" applyBorder="1"/>
    <xf numFmtId="0" fontId="22" fillId="0" borderId="18" xfId="0" applyFont="1" applyBorder="1"/>
    <xf numFmtId="0" fontId="22" fillId="0" borderId="49" xfId="0" applyFont="1" applyBorder="1"/>
    <xf numFmtId="0" fontId="22" fillId="0" borderId="50" xfId="0" applyFont="1" applyBorder="1"/>
    <xf numFmtId="164" fontId="24" fillId="0" borderId="0" xfId="0" applyNumberFormat="1" applyFont="1"/>
    <xf numFmtId="164" fontId="24" fillId="0" borderId="51" xfId="0" applyNumberFormat="1" applyFont="1" applyBorder="1"/>
    <xf numFmtId="0" fontId="22" fillId="0" borderId="52" xfId="0" applyFont="1" applyBorder="1"/>
    <xf numFmtId="164" fontId="24" fillId="0" borderId="53" xfId="0" applyNumberFormat="1" applyFont="1" applyBorder="1"/>
    <xf numFmtId="164" fontId="24" fillId="0" borderId="54" xfId="0" applyNumberFormat="1" applyFont="1" applyBorder="1"/>
    <xf numFmtId="0" fontId="23" fillId="0" borderId="0" xfId="0" applyFont="1"/>
    <xf numFmtId="165" fontId="24" fillId="16" borderId="0" xfId="1" applyNumberFormat="1" applyFont="1" applyFill="1" applyBorder="1"/>
    <xf numFmtId="165" fontId="24" fillId="0" borderId="0" xfId="1" applyNumberFormat="1" applyFont="1" applyFill="1" applyBorder="1"/>
    <xf numFmtId="165" fontId="24" fillId="0" borderId="51" xfId="1" applyNumberFormat="1" applyFont="1" applyFill="1" applyBorder="1"/>
    <xf numFmtId="165" fontId="24" fillId="0" borderId="53" xfId="1" applyNumberFormat="1" applyFont="1" applyFill="1" applyBorder="1"/>
    <xf numFmtId="165" fontId="24" fillId="0" borderId="54" xfId="1" applyNumberFormat="1" applyFont="1" applyFill="1" applyBorder="1"/>
    <xf numFmtId="0" fontId="11" fillId="0" borderId="0" xfId="0" applyFont="1"/>
    <xf numFmtId="0" fontId="9" fillId="0" borderId="0" xfId="0" quotePrefix="1" applyFont="1"/>
    <xf numFmtId="0" fontId="11" fillId="0" borderId="3" xfId="0" applyFont="1" applyBorder="1" applyAlignment="1">
      <alignment horizontal="center" vertical="center"/>
    </xf>
    <xf numFmtId="0" fontId="9" fillId="0" borderId="3" xfId="0" applyFont="1" applyBorder="1"/>
    <xf numFmtId="0" fontId="9" fillId="14" borderId="3" xfId="0" applyFont="1" applyFill="1" applyBorder="1"/>
    <xf numFmtId="0" fontId="9" fillId="14" borderId="5" xfId="0" applyFont="1" applyFill="1" applyBorder="1"/>
    <xf numFmtId="0" fontId="11" fillId="19" borderId="60" xfId="0" applyFont="1" applyFill="1" applyBorder="1"/>
    <xf numFmtId="0" fontId="9" fillId="0" borderId="46" xfId="0" applyFont="1" applyBorder="1"/>
    <xf numFmtId="0" fontId="9" fillId="0" borderId="47" xfId="0" applyFont="1" applyBorder="1"/>
    <xf numFmtId="0" fontId="23" fillId="0" borderId="47" xfId="0" applyFont="1" applyBorder="1"/>
    <xf numFmtId="0" fontId="22" fillId="0" borderId="55" xfId="0" applyFont="1" applyBorder="1"/>
    <xf numFmtId="0" fontId="23" fillId="0" borderId="0" xfId="0" applyFont="1" applyBorder="1"/>
    <xf numFmtId="0" fontId="23" fillId="0" borderId="51" xfId="0" applyFont="1" applyBorder="1"/>
    <xf numFmtId="0" fontId="11" fillId="0" borderId="6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14" borderId="6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horizontal="center" vertical="center"/>
    </xf>
    <xf numFmtId="0" fontId="26" fillId="19" borderId="61" xfId="0" applyFont="1" applyFill="1" applyBorder="1"/>
    <xf numFmtId="0" fontId="9" fillId="0" borderId="0" xfId="0" applyFont="1" applyBorder="1"/>
    <xf numFmtId="0" fontId="9" fillId="0" borderId="51" xfId="0" applyFont="1" applyBorder="1"/>
    <xf numFmtId="0" fontId="9" fillId="0" borderId="64" xfId="0" applyFont="1" applyBorder="1" applyAlignment="1">
      <alignment horizontal="center" vertical="center"/>
    </xf>
    <xf numFmtId="0" fontId="9" fillId="0" borderId="65" xfId="0" applyFont="1" applyBorder="1"/>
    <xf numFmtId="0" fontId="9" fillId="0" borderId="66" xfId="0" applyFont="1" applyBorder="1"/>
    <xf numFmtId="0" fontId="9" fillId="14" borderId="65" xfId="0" applyFont="1" applyFill="1" applyBorder="1"/>
    <xf numFmtId="0" fontId="9" fillId="14" borderId="66" xfId="0" applyFont="1" applyFill="1" applyBorder="1"/>
    <xf numFmtId="0" fontId="22" fillId="0" borderId="0" xfId="0" applyFont="1" applyBorder="1"/>
    <xf numFmtId="0" fontId="22" fillId="0" borderId="51" xfId="0" applyFont="1" applyBorder="1"/>
    <xf numFmtId="0" fontId="9" fillId="0" borderId="67" xfId="0" applyFont="1" applyBorder="1" applyAlignment="1">
      <alignment horizontal="center" vertical="center"/>
    </xf>
    <xf numFmtId="0" fontId="9" fillId="0" borderId="68" xfId="0" applyFont="1" applyBorder="1"/>
    <xf numFmtId="0" fontId="9" fillId="0" borderId="14" xfId="0" applyFont="1" applyBorder="1"/>
    <xf numFmtId="0" fontId="9" fillId="14" borderId="68" xfId="0" applyFont="1" applyFill="1" applyBorder="1"/>
    <xf numFmtId="0" fontId="9" fillId="14" borderId="14" xfId="0" applyFont="1" applyFill="1" applyBorder="1"/>
    <xf numFmtId="0" fontId="23" fillId="0" borderId="55" xfId="0" applyFont="1" applyBorder="1"/>
    <xf numFmtId="0" fontId="27" fillId="22" borderId="1" xfId="2" applyFont="1" applyFill="1" applyBorder="1"/>
    <xf numFmtId="2" fontId="26" fillId="21" borderId="0" xfId="0" applyNumberFormat="1" applyFont="1" applyFill="1" applyBorder="1"/>
    <xf numFmtId="164" fontId="27" fillId="22" borderId="1" xfId="2" applyNumberFormat="1" applyFont="1" applyFill="1" applyBorder="1"/>
    <xf numFmtId="164" fontId="23" fillId="0" borderId="0" xfId="0" applyNumberFormat="1" applyFont="1" applyBorder="1"/>
    <xf numFmtId="166" fontId="23" fillId="23" borderId="0" xfId="0" applyNumberFormat="1" applyFont="1" applyFill="1" applyBorder="1"/>
    <xf numFmtId="166" fontId="23" fillId="0" borderId="51" xfId="0" applyNumberFormat="1" applyFont="1" applyBorder="1"/>
    <xf numFmtId="0" fontId="9" fillId="0" borderId="69" xfId="0" applyFont="1" applyBorder="1" applyAlignment="1">
      <alignment horizontal="center" vertical="center"/>
    </xf>
    <xf numFmtId="0" fontId="9" fillId="0" borderId="70" xfId="0" applyFont="1" applyBorder="1"/>
    <xf numFmtId="0" fontId="9" fillId="0" borderId="19" xfId="0" applyFont="1" applyBorder="1"/>
    <xf numFmtId="0" fontId="9" fillId="14" borderId="70" xfId="0" applyFont="1" applyFill="1" applyBorder="1"/>
    <xf numFmtId="0" fontId="9" fillId="14" borderId="19" xfId="0" applyFont="1" applyFill="1" applyBorder="1"/>
    <xf numFmtId="0" fontId="22" fillId="0" borderId="56" xfId="0" applyFont="1" applyBorder="1"/>
    <xf numFmtId="0" fontId="22" fillId="0" borderId="53" xfId="0" applyFont="1" applyBorder="1"/>
    <xf numFmtId="0" fontId="22" fillId="0" borderId="57" xfId="0" applyFont="1" applyBorder="1"/>
    <xf numFmtId="166" fontId="23" fillId="24" borderId="58" xfId="0" applyNumberFormat="1" applyFont="1" applyFill="1" applyBorder="1"/>
    <xf numFmtId="1" fontId="23" fillId="0" borderId="59" xfId="0" applyNumberFormat="1" applyFont="1" applyBorder="1"/>
    <xf numFmtId="0" fontId="22" fillId="0" borderId="55" xfId="0" applyFont="1" applyBorder="1" applyAlignment="1">
      <alignment horizontal="center"/>
    </xf>
    <xf numFmtId="0" fontId="2" fillId="2" borderId="1" xfId="2"/>
    <xf numFmtId="0" fontId="0" fillId="19" borderId="0" xfId="0" applyFill="1" applyBorder="1"/>
    <xf numFmtId="0" fontId="2" fillId="2" borderId="1" xfId="2" applyBorder="1"/>
    <xf numFmtId="11" fontId="2" fillId="2" borderId="1" xfId="2" applyNumberFormat="1" applyBorder="1"/>
    <xf numFmtId="11" fontId="0" fillId="0" borderId="0" xfId="0" applyNumberFormat="1" applyBorder="1"/>
    <xf numFmtId="166" fontId="0" fillId="0" borderId="0" xfId="0" applyNumberFormat="1" applyBorder="1"/>
    <xf numFmtId="166" fontId="0" fillId="0" borderId="53" xfId="0" applyNumberFormat="1" applyBorder="1"/>
    <xf numFmtId="1" fontId="0" fillId="19" borderId="0" xfId="0" applyNumberFormat="1" applyFill="1" applyBorder="1"/>
    <xf numFmtId="1" fontId="2" fillId="2" borderId="80" xfId="2" applyNumberFormat="1" applyBorder="1"/>
    <xf numFmtId="164" fontId="2" fillId="2" borderId="1" xfId="2" applyNumberFormat="1" applyBorder="1"/>
    <xf numFmtId="0" fontId="6" fillId="0" borderId="55" xfId="0" applyFont="1" applyBorder="1"/>
    <xf numFmtId="9" fontId="0" fillId="0" borderId="11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/>
    </xf>
    <xf numFmtId="165" fontId="0" fillId="0" borderId="33" xfId="0" applyNumberFormat="1" applyBorder="1" applyAlignment="1">
      <alignment horizontal="center" vertical="center"/>
    </xf>
    <xf numFmtId="0" fontId="6" fillId="0" borderId="81" xfId="0" applyFont="1" applyBorder="1"/>
    <xf numFmtId="0" fontId="6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6" fillId="0" borderId="44" xfId="0" applyFont="1" applyBorder="1" applyAlignment="1">
      <alignment horizontal="left"/>
    </xf>
    <xf numFmtId="0" fontId="2" fillId="2" borderId="84" xfId="2" applyBorder="1"/>
    <xf numFmtId="0" fontId="0" fillId="0" borderId="85" xfId="0" applyBorder="1"/>
    <xf numFmtId="0" fontId="0" fillId="0" borderId="86" xfId="0" applyBorder="1" applyAlignment="1">
      <alignment horizontal="center"/>
    </xf>
    <xf numFmtId="0" fontId="5" fillId="0" borderId="86" xfId="4" applyBorder="1" applyAlignment="1">
      <alignment horizontal="center"/>
    </xf>
    <xf numFmtId="1" fontId="5" fillId="0" borderId="86" xfId="4" applyNumberFormat="1" applyBorder="1" applyAlignment="1">
      <alignment horizontal="center"/>
    </xf>
    <xf numFmtId="166" fontId="5" fillId="0" borderId="86" xfId="4" applyNumberFormat="1" applyBorder="1" applyAlignment="1">
      <alignment horizontal="center"/>
    </xf>
    <xf numFmtId="166" fontId="21" fillId="0" borderId="87" xfId="4" applyNumberFormat="1" applyFont="1" applyBorder="1" applyAlignment="1">
      <alignment horizontal="center"/>
    </xf>
    <xf numFmtId="1" fontId="3" fillId="3" borderId="2" xfId="3" applyNumberFormat="1"/>
    <xf numFmtId="0" fontId="2" fillId="2" borderId="88" xfId="2" applyBorder="1"/>
    <xf numFmtId="0" fontId="18" fillId="0" borderId="0" xfId="0" applyFont="1"/>
    <xf numFmtId="0" fontId="21" fillId="0" borderId="87" xfId="4" applyFont="1" applyBorder="1" applyAlignment="1">
      <alignment horizontal="center"/>
    </xf>
    <xf numFmtId="0" fontId="1" fillId="4" borderId="86" xfId="5" applyBorder="1" applyAlignment="1">
      <alignment horizontal="center"/>
    </xf>
    <xf numFmtId="0" fontId="0" fillId="0" borderId="89" xfId="0" applyBorder="1"/>
    <xf numFmtId="0" fontId="1" fillId="4" borderId="90" xfId="5" applyBorder="1" applyAlignment="1">
      <alignment horizontal="center"/>
    </xf>
    <xf numFmtId="0" fontId="0" fillId="0" borderId="90" xfId="0" applyBorder="1" applyAlignment="1">
      <alignment horizontal="center"/>
    </xf>
    <xf numFmtId="0" fontId="5" fillId="0" borderId="90" xfId="4" applyBorder="1" applyAlignment="1">
      <alignment horizontal="center"/>
    </xf>
    <xf numFmtId="1" fontId="5" fillId="0" borderId="90" xfId="4" applyNumberFormat="1" applyBorder="1" applyAlignment="1">
      <alignment horizontal="center"/>
    </xf>
    <xf numFmtId="166" fontId="5" fillId="0" borderId="90" xfId="4" applyNumberFormat="1" applyBorder="1" applyAlignment="1">
      <alignment horizontal="center"/>
    </xf>
    <xf numFmtId="166" fontId="21" fillId="0" borderId="91" xfId="4" applyNumberFormat="1" applyFont="1" applyBorder="1" applyAlignment="1">
      <alignment horizontal="center"/>
    </xf>
    <xf numFmtId="0" fontId="0" fillId="0" borderId="85" xfId="0" applyFill="1" applyBorder="1"/>
    <xf numFmtId="0" fontId="0" fillId="0" borderId="86" xfId="0" applyFill="1" applyBorder="1" applyAlignment="1">
      <alignment horizontal="center"/>
    </xf>
    <xf numFmtId="0" fontId="5" fillId="0" borderId="86" xfId="4" applyFill="1" applyBorder="1" applyAlignment="1">
      <alignment horizontal="center"/>
    </xf>
    <xf numFmtId="1" fontId="5" fillId="0" borderId="86" xfId="4" applyNumberFormat="1" applyFill="1" applyBorder="1" applyAlignment="1">
      <alignment horizontal="center"/>
    </xf>
    <xf numFmtId="166" fontId="5" fillId="0" borderId="86" xfId="4" applyNumberFormat="1" applyFill="1" applyBorder="1" applyAlignment="1">
      <alignment horizontal="center"/>
    </xf>
    <xf numFmtId="166" fontId="21" fillId="0" borderId="87" xfId="4" applyNumberFormat="1" applyFont="1" applyFill="1" applyBorder="1" applyAlignment="1">
      <alignment horizontal="center"/>
    </xf>
    <xf numFmtId="0" fontId="28" fillId="0" borderId="85" xfId="0" applyFont="1" applyFill="1" applyBorder="1"/>
    <xf numFmtId="0" fontId="28" fillId="0" borderId="86" xfId="0" applyFont="1" applyFill="1" applyBorder="1" applyAlignment="1">
      <alignment horizontal="center"/>
    </xf>
    <xf numFmtId="0" fontId="29" fillId="0" borderId="86" xfId="4" applyFont="1" applyFill="1" applyBorder="1" applyAlignment="1">
      <alignment horizontal="center"/>
    </xf>
    <xf numFmtId="1" fontId="29" fillId="0" borderId="86" xfId="4" applyNumberFormat="1" applyFont="1" applyFill="1" applyBorder="1" applyAlignment="1">
      <alignment horizontal="center"/>
    </xf>
    <xf numFmtId="166" fontId="29" fillId="0" borderId="86" xfId="4" applyNumberFormat="1" applyFont="1" applyFill="1" applyBorder="1" applyAlignment="1">
      <alignment horizontal="center"/>
    </xf>
    <xf numFmtId="166" fontId="30" fillId="0" borderId="87" xfId="4" applyNumberFormat="1" applyFont="1" applyFill="1" applyBorder="1" applyAlignment="1">
      <alignment horizontal="center"/>
    </xf>
    <xf numFmtId="0" fontId="0" fillId="19" borderId="85" xfId="0" applyFill="1" applyBorder="1"/>
    <xf numFmtId="0" fontId="0" fillId="19" borderId="86" xfId="0" applyFill="1" applyBorder="1" applyAlignment="1">
      <alignment horizontal="center"/>
    </xf>
    <xf numFmtId="0" fontId="5" fillId="19" borderId="86" xfId="4" applyFill="1" applyBorder="1" applyAlignment="1">
      <alignment horizontal="center"/>
    </xf>
    <xf numFmtId="1" fontId="5" fillId="19" borderId="86" xfId="4" applyNumberFormat="1" applyFill="1" applyBorder="1" applyAlignment="1">
      <alignment horizontal="center"/>
    </xf>
    <xf numFmtId="166" fontId="5" fillId="19" borderId="86" xfId="4" applyNumberFormat="1" applyFill="1" applyBorder="1" applyAlignment="1">
      <alignment horizontal="center"/>
    </xf>
    <xf numFmtId="166" fontId="21" fillId="19" borderId="87" xfId="4" applyNumberFormat="1" applyFont="1" applyFill="1" applyBorder="1" applyAlignment="1">
      <alignment horizontal="center"/>
    </xf>
    <xf numFmtId="0" fontId="1" fillId="10" borderId="86" xfId="6" applyFill="1" applyBorder="1" applyAlignment="1">
      <alignment horizontal="center"/>
    </xf>
    <xf numFmtId="0" fontId="28" fillId="10" borderId="86" xfId="6" applyFont="1" applyFill="1" applyBorder="1" applyAlignment="1">
      <alignment horizontal="center"/>
    </xf>
    <xf numFmtId="0" fontId="18" fillId="0" borderId="82" xfId="0" applyFont="1" applyBorder="1" applyAlignment="1">
      <alignment horizontal="center"/>
    </xf>
    <xf numFmtId="166" fontId="21" fillId="0" borderId="86" xfId="4" applyNumberFormat="1" applyFont="1" applyBorder="1" applyAlignment="1">
      <alignment horizontal="center"/>
    </xf>
    <xf numFmtId="166" fontId="21" fillId="0" borderId="86" xfId="4" applyNumberFormat="1" applyFont="1" applyFill="1" applyBorder="1" applyAlignment="1">
      <alignment horizontal="center"/>
    </xf>
    <xf numFmtId="166" fontId="30" fillId="0" borderId="86" xfId="4" applyNumberFormat="1" applyFont="1" applyFill="1" applyBorder="1" applyAlignment="1">
      <alignment horizontal="center"/>
    </xf>
    <xf numFmtId="166" fontId="21" fillId="19" borderId="86" xfId="4" applyNumberFormat="1" applyFont="1" applyFill="1" applyBorder="1" applyAlignment="1">
      <alignment horizontal="center"/>
    </xf>
    <xf numFmtId="0" fontId="21" fillId="0" borderId="86" xfId="4" applyFont="1" applyBorder="1" applyAlignment="1">
      <alignment horizontal="center"/>
    </xf>
    <xf numFmtId="166" fontId="21" fillId="0" borderId="90" xfId="4" applyNumberFormat="1" applyFont="1" applyBorder="1" applyAlignment="1">
      <alignment horizontal="center"/>
    </xf>
    <xf numFmtId="0" fontId="1" fillId="34" borderId="0" xfId="7" quotePrefix="1" applyFill="1"/>
    <xf numFmtId="0" fontId="0" fillId="34" borderId="0" xfId="0" applyFill="1"/>
    <xf numFmtId="0" fontId="1" fillId="34" borderId="0" xfId="7" applyFill="1"/>
    <xf numFmtId="0" fontId="6" fillId="34" borderId="62" xfId="0" applyFont="1" applyFill="1" applyBorder="1"/>
    <xf numFmtId="0" fontId="0" fillId="34" borderId="62" xfId="0" applyFill="1" applyBorder="1"/>
    <xf numFmtId="0" fontId="7" fillId="33" borderId="92" xfId="0" applyFont="1" applyFill="1" applyBorder="1"/>
    <xf numFmtId="0" fontId="6" fillId="0" borderId="68" xfId="0" applyFont="1" applyBorder="1"/>
    <xf numFmtId="0" fontId="0" fillId="0" borderId="86" xfId="0" applyBorder="1"/>
    <xf numFmtId="0" fontId="0" fillId="0" borderId="40" xfId="0" applyBorder="1"/>
    <xf numFmtId="0" fontId="6" fillId="0" borderId="94" xfId="0" applyFont="1" applyBorder="1"/>
    <xf numFmtId="0" fontId="0" fillId="0" borderId="94" xfId="0" applyBorder="1"/>
    <xf numFmtId="0" fontId="0" fillId="0" borderId="93" xfId="0" applyBorder="1"/>
    <xf numFmtId="0" fontId="0" fillId="0" borderId="96" xfId="0" applyBorder="1"/>
    <xf numFmtId="0" fontId="0" fillId="0" borderId="95" xfId="0" applyBorder="1"/>
    <xf numFmtId="0" fontId="6" fillId="0" borderId="5" xfId="0" applyFont="1" applyBorder="1" applyAlignment="1">
      <alignment horizontal="center"/>
    </xf>
    <xf numFmtId="0" fontId="0" fillId="0" borderId="0" xfId="0" applyFont="1" applyBorder="1" applyAlignment="1">
      <alignment horizontal="right"/>
    </xf>
    <xf numFmtId="0" fontId="31" fillId="0" borderId="0" xfId="0" applyFont="1"/>
    <xf numFmtId="0" fontId="32" fillId="0" borderId="55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6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0" borderId="51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0" fontId="16" fillId="19" borderId="53" xfId="0" applyFont="1" applyFill="1" applyBorder="1" applyAlignment="1">
      <alignment horizontal="center" vertical="center"/>
    </xf>
    <xf numFmtId="0" fontId="16" fillId="19" borderId="51" xfId="0" applyFont="1" applyFill="1" applyBorder="1" applyAlignment="1">
      <alignment horizontal="center" vertical="center"/>
    </xf>
    <xf numFmtId="0" fontId="16" fillId="19" borderId="54" xfId="0" applyFont="1" applyFill="1" applyBorder="1" applyAlignment="1">
      <alignment horizontal="center" vertical="center"/>
    </xf>
    <xf numFmtId="1" fontId="16" fillId="19" borderId="0" xfId="0" applyNumberFormat="1" applyFont="1" applyFill="1" applyAlignment="1">
      <alignment horizontal="center" vertical="center"/>
    </xf>
    <xf numFmtId="0" fontId="8" fillId="9" borderId="20" xfId="0" applyFont="1" applyFill="1" applyBorder="1"/>
    <xf numFmtId="0" fontId="9" fillId="0" borderId="19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8" fillId="8" borderId="32" xfId="0" applyFont="1" applyFill="1" applyBorder="1"/>
    <xf numFmtId="0" fontId="9" fillId="0" borderId="41" xfId="0" applyFont="1" applyBorder="1"/>
    <xf numFmtId="0" fontId="9" fillId="20" borderId="0" xfId="0" applyFont="1" applyFill="1"/>
    <xf numFmtId="0" fontId="6" fillId="0" borderId="55" xfId="0" applyFont="1" applyBorder="1" applyAlignment="1">
      <alignment horizontal="center" vertical="center"/>
    </xf>
    <xf numFmtId="0" fontId="6" fillId="31" borderId="0" xfId="0" applyFont="1" applyFill="1" applyBorder="1" applyAlignment="1">
      <alignment horizontal="center" vertical="center"/>
    </xf>
    <xf numFmtId="0" fontId="6" fillId="1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166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65" fontId="0" fillId="0" borderId="0" xfId="1" applyNumberFormat="1" applyFon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5" fillId="0" borderId="0" xfId="0" applyFont="1" applyAlignment="1">
      <alignment horizontal="left"/>
    </xf>
    <xf numFmtId="0" fontId="0" fillId="0" borderId="98" xfId="0" applyBorder="1" applyAlignment="1">
      <alignment horizontal="center"/>
    </xf>
    <xf numFmtId="0" fontId="0" fillId="28" borderId="86" xfId="0" applyFill="1" applyBorder="1" applyAlignment="1">
      <alignment horizontal="center"/>
    </xf>
    <xf numFmtId="0" fontId="0" fillId="28" borderId="99" xfId="0" applyFill="1" applyBorder="1" applyAlignment="1">
      <alignment horizontal="center"/>
    </xf>
    <xf numFmtId="0" fontId="0" fillId="0" borderId="99" xfId="0" applyBorder="1" applyAlignment="1">
      <alignment horizontal="center"/>
    </xf>
    <xf numFmtId="0" fontId="0" fillId="26" borderId="98" xfId="0" applyFill="1" applyBorder="1" applyAlignment="1">
      <alignment horizontal="center"/>
    </xf>
    <xf numFmtId="0" fontId="0" fillId="29" borderId="86" xfId="0" applyFill="1" applyBorder="1" applyAlignment="1">
      <alignment horizontal="center"/>
    </xf>
    <xf numFmtId="0" fontId="0" fillId="25" borderId="98" xfId="0" applyFill="1" applyBorder="1" applyAlignment="1">
      <alignment horizontal="center"/>
    </xf>
    <xf numFmtId="0" fontId="0" fillId="0" borderId="0" xfId="0"/>
    <xf numFmtId="0" fontId="0" fillId="0" borderId="0" xfId="0" applyBorder="1"/>
    <xf numFmtId="0" fontId="0" fillId="0" borderId="32" xfId="0" applyBorder="1"/>
    <xf numFmtId="0" fontId="6" fillId="0" borderId="6" xfId="0" applyFont="1" applyBorder="1"/>
    <xf numFmtId="0" fontId="4" fillId="0" borderId="98" xfId="0" applyFont="1" applyBorder="1" applyAlignment="1">
      <alignment horizontal="center"/>
    </xf>
    <xf numFmtId="0" fontId="35" fillId="0" borderId="0" xfId="0" applyFont="1" applyAlignment="1">
      <alignment horizontal="justify" vertical="center"/>
    </xf>
    <xf numFmtId="0" fontId="0" fillId="11" borderId="98" xfId="0" applyFill="1" applyBorder="1"/>
    <xf numFmtId="0" fontId="0" fillId="11" borderId="86" xfId="0" applyFill="1" applyBorder="1"/>
    <xf numFmtId="0" fontId="21" fillId="0" borderId="0" xfId="0" applyFont="1" applyBorder="1"/>
    <xf numFmtId="0" fontId="0" fillId="26" borderId="0" xfId="0" applyFill="1" applyBorder="1" applyAlignment="1">
      <alignment horizontal="left"/>
    </xf>
    <xf numFmtId="0" fontId="6" fillId="26" borderId="0" xfId="0" applyFont="1" applyFill="1" applyBorder="1"/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left"/>
    </xf>
    <xf numFmtId="164" fontId="6" fillId="19" borderId="0" xfId="0" applyNumberFormat="1" applyFont="1" applyFill="1" applyBorder="1"/>
    <xf numFmtId="0" fontId="33" fillId="0" borderId="11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33" fillId="0" borderId="32" xfId="0" applyFon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" fontId="0" fillId="0" borderId="32" xfId="0" applyNumberFormat="1" applyBorder="1" applyAlignment="1">
      <alignment horizontal="left"/>
    </xf>
    <xf numFmtId="164" fontId="0" fillId="24" borderId="11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/>
    </xf>
    <xf numFmtId="164" fontId="0" fillId="0" borderId="15" xfId="0" applyNumberFormat="1" applyBorder="1" applyAlignment="1">
      <alignment horizontal="left"/>
    </xf>
    <xf numFmtId="1" fontId="0" fillId="0" borderId="18" xfId="0" applyNumberFormat="1" applyBorder="1" applyAlignment="1">
      <alignment horizontal="left"/>
    </xf>
    <xf numFmtId="0" fontId="0" fillId="0" borderId="18" xfId="0" applyBorder="1" applyAlignment="1">
      <alignment horizontal="left"/>
    </xf>
    <xf numFmtId="1" fontId="0" fillId="0" borderId="33" xfId="0" applyNumberFormat="1" applyBorder="1" applyAlignment="1">
      <alignment horizontal="left"/>
    </xf>
    <xf numFmtId="0" fontId="6" fillId="11" borderId="6" xfId="0" applyFont="1" applyFill="1" applyBorder="1"/>
    <xf numFmtId="0" fontId="0" fillId="11" borderId="9" xfId="0" applyFill="1" applyBorder="1"/>
    <xf numFmtId="0" fontId="0" fillId="11" borderId="20" xfId="0" applyFill="1" applyBorder="1"/>
    <xf numFmtId="0" fontId="33" fillId="11" borderId="11" xfId="0" applyFont="1" applyFill="1" applyBorder="1"/>
    <xf numFmtId="0" fontId="33" fillId="11" borderId="0" xfId="0" applyFont="1" applyFill="1" applyBorder="1"/>
    <xf numFmtId="0" fontId="33" fillId="11" borderId="32" xfId="0" applyFont="1" applyFill="1" applyBorder="1"/>
    <xf numFmtId="0" fontId="0" fillId="11" borderId="65" xfId="0" applyFill="1" applyBorder="1"/>
    <xf numFmtId="0" fontId="0" fillId="11" borderId="66" xfId="0" applyFill="1" applyBorder="1"/>
    <xf numFmtId="0" fontId="0" fillId="11" borderId="68" xfId="0" applyFill="1" applyBorder="1"/>
    <xf numFmtId="0" fontId="0" fillId="11" borderId="14" xfId="0" applyFill="1" applyBorder="1"/>
    <xf numFmtId="0" fontId="0" fillId="11" borderId="70" xfId="0" applyFill="1" applyBorder="1"/>
    <xf numFmtId="0" fontId="0" fillId="11" borderId="40" xfId="0" applyFill="1" applyBorder="1"/>
    <xf numFmtId="0" fontId="0" fillId="11" borderId="19" xfId="0" applyFill="1" applyBorder="1"/>
    <xf numFmtId="0" fontId="23" fillId="32" borderId="0" xfId="0" applyFont="1" applyFill="1" applyBorder="1"/>
    <xf numFmtId="0" fontId="6" fillId="0" borderId="60" xfId="0" applyFont="1" applyBorder="1" applyAlignment="1">
      <alignment wrapText="1"/>
    </xf>
    <xf numFmtId="1" fontId="15" fillId="0" borderId="100" xfId="0" applyNumberFormat="1" applyFont="1" applyBorder="1"/>
    <xf numFmtId="1" fontId="0" fillId="0" borderId="101" xfId="0" applyNumberFormat="1" applyBorder="1"/>
    <xf numFmtId="0" fontId="6" fillId="0" borderId="102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1" fontId="7" fillId="38" borderId="0" xfId="0" applyNumberFormat="1" applyFont="1" applyFill="1"/>
    <xf numFmtId="1" fontId="7" fillId="0" borderId="0" xfId="0" applyNumberFormat="1" applyFont="1"/>
    <xf numFmtId="1" fontId="7" fillId="0" borderId="51" xfId="0" applyNumberFormat="1" applyFont="1" applyBorder="1"/>
    <xf numFmtId="0" fontId="2" fillId="2" borderId="80" xfId="2" applyBorder="1"/>
    <xf numFmtId="1" fontId="7" fillId="39" borderId="0" xfId="0" applyNumberFormat="1" applyFont="1" applyFill="1"/>
    <xf numFmtId="1" fontId="7" fillId="14" borderId="0" xfId="0" applyNumberFormat="1" applyFont="1" applyFill="1"/>
    <xf numFmtId="1" fontId="7" fillId="0" borderId="53" xfId="0" applyNumberFormat="1" applyFont="1" applyBorder="1"/>
    <xf numFmtId="1" fontId="7" fillId="8" borderId="53" xfId="0" applyNumberFormat="1" applyFont="1" applyFill="1" applyBorder="1"/>
    <xf numFmtId="1" fontId="7" fillId="8" borderId="54" xfId="0" applyNumberFormat="1" applyFont="1" applyFill="1" applyBorder="1"/>
    <xf numFmtId="0" fontId="6" fillId="0" borderId="60" xfId="0" applyFont="1" applyBorder="1"/>
    <xf numFmtId="1" fontId="0" fillId="0" borderId="55" xfId="0" applyNumberFormat="1" applyBorder="1"/>
    <xf numFmtId="164" fontId="3" fillId="3" borderId="2" xfId="3" applyNumberFormat="1"/>
    <xf numFmtId="1" fontId="0" fillId="40" borderId="55" xfId="0" applyNumberFormat="1" applyFill="1" applyBorder="1"/>
    <xf numFmtId="164" fontId="2" fillId="2" borderId="1" xfId="2" applyNumberFormat="1"/>
    <xf numFmtId="1" fontId="1" fillId="0" borderId="55" xfId="9" applyNumberFormat="1" applyFill="1" applyBorder="1"/>
    <xf numFmtId="0" fontId="18" fillId="19" borderId="1" xfId="2" applyFont="1" applyFill="1" applyAlignment="1">
      <alignment horizontal="right"/>
    </xf>
    <xf numFmtId="1" fontId="1" fillId="0" borderId="55" xfId="8" applyNumberFormat="1" applyFill="1" applyBorder="1"/>
    <xf numFmtId="0" fontId="0" fillId="0" borderId="48" xfId="0" applyBorder="1"/>
    <xf numFmtId="11" fontId="2" fillId="2" borderId="1" xfId="2" applyNumberFormat="1"/>
    <xf numFmtId="0" fontId="0" fillId="0" borderId="103" xfId="0" applyBorder="1"/>
    <xf numFmtId="1" fontId="0" fillId="0" borderId="18" xfId="0" applyNumberFormat="1" applyBorder="1"/>
    <xf numFmtId="1" fontId="0" fillId="0" borderId="56" xfId="0" applyNumberFormat="1" applyBorder="1"/>
    <xf numFmtId="164" fontId="0" fillId="0" borderId="53" xfId="0" applyNumberFormat="1" applyBorder="1"/>
    <xf numFmtId="164" fontId="0" fillId="0" borderId="54" xfId="0" applyNumberFormat="1" applyBorder="1"/>
    <xf numFmtId="1" fontId="0" fillId="0" borderId="53" xfId="0" applyNumberFormat="1" applyBorder="1"/>
    <xf numFmtId="1" fontId="0" fillId="0" borderId="0" xfId="0" applyNumberFormat="1"/>
    <xf numFmtId="165" fontId="0" fillId="0" borderId="0" xfId="1" applyNumberFormat="1" applyFont="1"/>
    <xf numFmtId="165" fontId="0" fillId="0" borderId="0" xfId="1" applyNumberFormat="1" applyFont="1" applyBorder="1"/>
    <xf numFmtId="165" fontId="0" fillId="0" borderId="51" xfId="1" applyNumberFormat="1" applyFont="1" applyBorder="1"/>
    <xf numFmtId="165" fontId="0" fillId="0" borderId="53" xfId="1" applyNumberFormat="1" applyFont="1" applyBorder="1"/>
    <xf numFmtId="165" fontId="0" fillId="0" borderId="54" xfId="1" applyNumberFormat="1" applyFont="1" applyBorder="1"/>
    <xf numFmtId="1" fontId="36" fillId="7" borderId="100" xfId="0" applyNumberFormat="1" applyFont="1" applyFill="1" applyBorder="1"/>
    <xf numFmtId="0" fontId="6" fillId="0" borderId="0" xfId="0" applyFont="1" applyBorder="1" applyAlignment="1">
      <alignment horizontal="center"/>
    </xf>
    <xf numFmtId="0" fontId="21" fillId="0" borderId="46" xfId="0" applyFont="1" applyBorder="1"/>
    <xf numFmtId="0" fontId="21" fillId="0" borderId="47" xfId="0" applyFont="1" applyBorder="1"/>
    <xf numFmtId="0" fontId="21" fillId="0" borderId="56" xfId="0" applyFont="1" applyBorder="1" applyAlignment="1">
      <alignment horizontal="right"/>
    </xf>
    <xf numFmtId="0" fontId="2" fillId="2" borderId="104" xfId="2" applyBorder="1"/>
    <xf numFmtId="0" fontId="5" fillId="0" borderId="0" xfId="4"/>
    <xf numFmtId="9" fontId="2" fillId="2" borderId="84" xfId="2" applyNumberFormat="1" applyBorder="1"/>
    <xf numFmtId="0" fontId="6" fillId="0" borderId="105" xfId="0" applyFont="1" applyBorder="1"/>
    <xf numFmtId="0" fontId="6" fillId="0" borderId="106" xfId="0" applyFont="1" applyBorder="1" applyAlignment="1">
      <alignment horizontal="center"/>
    </xf>
    <xf numFmtId="0" fontId="21" fillId="19" borderId="106" xfId="0" applyFont="1" applyFill="1" applyBorder="1" applyAlignment="1">
      <alignment horizontal="center"/>
    </xf>
    <xf numFmtId="0" fontId="21" fillId="20" borderId="106" xfId="0" applyFont="1" applyFill="1" applyBorder="1" applyAlignment="1">
      <alignment horizontal="center"/>
    </xf>
    <xf numFmtId="0" fontId="21" fillId="0" borderId="107" xfId="0" applyFont="1" applyBorder="1" applyAlignment="1">
      <alignment horizontal="center"/>
    </xf>
    <xf numFmtId="0" fontId="0" fillId="0" borderId="108" xfId="0" applyBorder="1"/>
    <xf numFmtId="0" fontId="0" fillId="0" borderId="43" xfId="0" applyBorder="1"/>
    <xf numFmtId="0" fontId="2" fillId="2" borderId="43" xfId="2" applyBorder="1"/>
    <xf numFmtId="166" fontId="0" fillId="0" borderId="43" xfId="0" applyNumberFormat="1" applyBorder="1"/>
    <xf numFmtId="16" fontId="7" fillId="41" borderId="43" xfId="0" quotePrefix="1" applyNumberFormat="1" applyFont="1" applyFill="1" applyBorder="1"/>
    <xf numFmtId="0" fontId="7" fillId="0" borderId="43" xfId="0" applyFont="1" applyBorder="1"/>
    <xf numFmtId="0" fontId="7" fillId="0" borderId="109" xfId="0" applyFont="1" applyBorder="1"/>
    <xf numFmtId="1" fontId="0" fillId="0" borderId="43" xfId="0" applyNumberFormat="1" applyBorder="1"/>
    <xf numFmtId="2" fontId="0" fillId="0" borderId="43" xfId="0" applyNumberFormat="1" applyBorder="1"/>
    <xf numFmtId="0" fontId="7" fillId="41" borderId="43" xfId="0" quotePrefix="1" applyFont="1" applyFill="1" applyBorder="1"/>
    <xf numFmtId="16" fontId="7" fillId="41" borderId="109" xfId="0" quotePrefix="1" applyNumberFormat="1" applyFont="1" applyFill="1" applyBorder="1"/>
    <xf numFmtId="0" fontId="0" fillId="0" borderId="110" xfId="0" applyBorder="1"/>
    <xf numFmtId="0" fontId="0" fillId="0" borderId="111" xfId="0" applyBorder="1"/>
    <xf numFmtId="1" fontId="0" fillId="0" borderId="111" xfId="0" applyNumberFormat="1" applyBorder="1"/>
    <xf numFmtId="166" fontId="0" fillId="0" borderId="111" xfId="0" applyNumberFormat="1" applyBorder="1"/>
    <xf numFmtId="2" fontId="0" fillId="0" borderId="111" xfId="0" applyNumberFormat="1" applyBorder="1"/>
    <xf numFmtId="0" fontId="7" fillId="0" borderId="111" xfId="0" applyFont="1" applyBorder="1"/>
    <xf numFmtId="0" fontId="7" fillId="41" borderId="112" xfId="0" quotePrefix="1" applyFont="1" applyFill="1" applyBorder="1"/>
    <xf numFmtId="166" fontId="0" fillId="0" borderId="0" xfId="0" applyNumberFormat="1"/>
    <xf numFmtId="2" fontId="0" fillId="0" borderId="0" xfId="0" applyNumberFormat="1"/>
    <xf numFmtId="0" fontId="6" fillId="0" borderId="100" xfId="0" applyFont="1" applyBorder="1"/>
    <xf numFmtId="1" fontId="6" fillId="0" borderId="100" xfId="0" applyNumberFormat="1" applyFont="1" applyBorder="1"/>
    <xf numFmtId="0" fontId="6" fillId="0" borderId="101" xfId="0" applyFont="1" applyBorder="1"/>
    <xf numFmtId="0" fontId="0" fillId="0" borderId="61" xfId="0" applyBorder="1" applyAlignment="1">
      <alignment horizontal="center"/>
    </xf>
    <xf numFmtId="0" fontId="0" fillId="19" borderId="61" xfId="0" applyFill="1" applyBorder="1" applyAlignment="1">
      <alignment horizontal="center"/>
    </xf>
    <xf numFmtId="0" fontId="0" fillId="0" borderId="114" xfId="0" applyBorder="1" applyAlignment="1">
      <alignment horizontal="center"/>
    </xf>
    <xf numFmtId="0" fontId="6" fillId="0" borderId="75" xfId="0" applyFont="1" applyBorder="1"/>
    <xf numFmtId="0" fontId="2" fillId="2" borderId="116" xfId="2" applyBorder="1"/>
    <xf numFmtId="0" fontId="0" fillId="0" borderId="77" xfId="0" applyBorder="1"/>
    <xf numFmtId="0" fontId="21" fillId="0" borderId="106" xfId="0" applyFont="1" applyBorder="1" applyAlignment="1">
      <alignment horizontal="center"/>
    </xf>
    <xf numFmtId="1" fontId="2" fillId="2" borderId="1" xfId="2" applyNumberFormat="1"/>
    <xf numFmtId="1" fontId="7" fillId="42" borderId="43" xfId="0" quotePrefix="1" applyNumberFormat="1" applyFont="1" applyFill="1" applyBorder="1"/>
    <xf numFmtId="1" fontId="7" fillId="0" borderId="43" xfId="0" applyNumberFormat="1" applyFont="1" applyBorder="1"/>
    <xf numFmtId="1" fontId="7" fillId="0" borderId="109" xfId="0" applyNumberFormat="1" applyFont="1" applyBorder="1"/>
    <xf numFmtId="166" fontId="7" fillId="42" borderId="43" xfId="0" applyNumberFormat="1" applyFont="1" applyFill="1" applyBorder="1"/>
    <xf numFmtId="1" fontId="7" fillId="42" borderId="43" xfId="0" applyNumberFormat="1" applyFont="1" applyFill="1" applyBorder="1"/>
    <xf numFmtId="1" fontId="7" fillId="0" borderId="43" xfId="0" quotePrefix="1" applyNumberFormat="1" applyFont="1" applyBorder="1"/>
    <xf numFmtId="1" fontId="7" fillId="42" borderId="109" xfId="0" applyNumberFormat="1" applyFont="1" applyFill="1" applyBorder="1"/>
    <xf numFmtId="1" fontId="2" fillId="2" borderId="88" xfId="2" applyNumberFormat="1" applyBorder="1"/>
    <xf numFmtId="1" fontId="7" fillId="0" borderId="111" xfId="0" applyNumberFormat="1" applyFont="1" applyBorder="1"/>
    <xf numFmtId="1" fontId="7" fillId="42" borderId="112" xfId="0" applyNumberFormat="1" applyFont="1" applyFill="1" applyBorder="1"/>
    <xf numFmtId="0" fontId="0" fillId="0" borderId="61" xfId="0" applyFill="1" applyBorder="1" applyAlignment="1">
      <alignment horizontal="center"/>
    </xf>
    <xf numFmtId="0" fontId="0" fillId="19" borderId="114" xfId="0" applyFill="1" applyBorder="1" applyAlignment="1">
      <alignment horizontal="center"/>
    </xf>
    <xf numFmtId="0" fontId="0" fillId="19" borderId="0" xfId="0" applyFill="1"/>
    <xf numFmtId="0" fontId="0" fillId="0" borderId="117" xfId="0" applyBorder="1"/>
    <xf numFmtId="0" fontId="0" fillId="0" borderId="118" xfId="0" applyBorder="1"/>
    <xf numFmtId="0" fontId="0" fillId="0" borderId="87" xfId="0" applyBorder="1"/>
    <xf numFmtId="0" fontId="0" fillId="0" borderId="119" xfId="0" applyBorder="1"/>
    <xf numFmtId="0" fontId="0" fillId="0" borderId="120" xfId="0" applyBorder="1"/>
    <xf numFmtId="0" fontId="0" fillId="27" borderId="0" xfId="0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19" fillId="0" borderId="55" xfId="0" applyFont="1" applyBorder="1"/>
    <xf numFmtId="0" fontId="4" fillId="0" borderId="56" xfId="0" applyFont="1" applyBorder="1"/>
    <xf numFmtId="0" fontId="0" fillId="11" borderId="44" xfId="0" applyFill="1" applyBorder="1"/>
    <xf numFmtId="0" fontId="6" fillId="11" borderId="46" xfId="0" applyFont="1" applyFill="1" applyBorder="1"/>
    <xf numFmtId="0" fontId="6" fillId="11" borderId="46" xfId="0" applyFont="1" applyFill="1" applyBorder="1" applyAlignment="1">
      <alignment horizontal="center"/>
    </xf>
    <xf numFmtId="0" fontId="6" fillId="11" borderId="47" xfId="0" applyFont="1" applyFill="1" applyBorder="1" applyAlignment="1">
      <alignment horizontal="left"/>
    </xf>
    <xf numFmtId="0" fontId="39" fillId="0" borderId="50" xfId="0" applyFont="1" applyBorder="1"/>
    <xf numFmtId="165" fontId="39" fillId="0" borderId="0" xfId="1" applyNumberFormat="1" applyFont="1" applyFill="1" applyBorder="1"/>
    <xf numFmtId="165" fontId="39" fillId="17" borderId="0" xfId="1" applyNumberFormat="1" applyFont="1" applyFill="1" applyBorder="1"/>
    <xf numFmtId="165" fontId="39" fillId="16" borderId="0" xfId="1" applyNumberFormat="1" applyFont="1" applyFill="1" applyBorder="1"/>
    <xf numFmtId="0" fontId="13" fillId="0" borderId="0" xfId="0" applyFont="1"/>
    <xf numFmtId="0" fontId="0" fillId="0" borderId="121" xfId="0" quotePrefix="1" applyBorder="1"/>
    <xf numFmtId="165" fontId="0" fillId="19" borderId="0" xfId="1" applyNumberFormat="1" applyFont="1" applyFill="1" applyBorder="1" applyAlignment="1">
      <alignment horizontal="center"/>
    </xf>
    <xf numFmtId="0" fontId="0" fillId="0" borderId="55" xfId="0" applyFill="1" applyBorder="1"/>
    <xf numFmtId="0" fontId="6" fillId="0" borderId="0" xfId="0" applyFont="1" applyFill="1" applyBorder="1" applyAlignment="1">
      <alignment horizontal="right"/>
    </xf>
    <xf numFmtId="165" fontId="0" fillId="0" borderId="0" xfId="1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0" fillId="0" borderId="51" xfId="0" applyFill="1" applyBorder="1"/>
    <xf numFmtId="0" fontId="40" fillId="0" borderId="86" xfId="0" applyFont="1" applyBorder="1" applyAlignment="1">
      <alignment horizontal="center"/>
    </xf>
    <xf numFmtId="164" fontId="0" fillId="19" borderId="53" xfId="0" applyNumberFormat="1" applyFill="1" applyBorder="1" applyAlignment="1">
      <alignment horizontal="center"/>
    </xf>
    <xf numFmtId="165" fontId="0" fillId="0" borderId="0" xfId="0" applyNumberFormat="1" applyBorder="1" applyAlignment="1">
      <alignment horizontal="center" vertical="center"/>
    </xf>
    <xf numFmtId="0" fontId="33" fillId="0" borderId="11" xfId="0" applyFont="1" applyFill="1" applyBorder="1"/>
    <xf numFmtId="0" fontId="6" fillId="0" borderId="3" xfId="0" applyFont="1" applyBorder="1"/>
    <xf numFmtId="0" fontId="0" fillId="0" borderId="4" xfId="0" applyBorder="1"/>
    <xf numFmtId="0" fontId="0" fillId="0" borderId="5" xfId="0" applyBorder="1"/>
    <xf numFmtId="0" fontId="21" fillId="0" borderId="11" xfId="0" applyFont="1" applyFill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32" xfId="0" applyFont="1" applyBorder="1" applyAlignment="1">
      <alignment horizontal="center"/>
    </xf>
    <xf numFmtId="0" fontId="0" fillId="0" borderId="11" xfId="0" applyFill="1" applyBorder="1" applyAlignment="1">
      <alignment horizontal="center"/>
    </xf>
    <xf numFmtId="9" fontId="0" fillId="0" borderId="32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15" xfId="0" applyFill="1" applyBorder="1" applyAlignment="1">
      <alignment horizontal="center"/>
    </xf>
    <xf numFmtId="9" fontId="0" fillId="0" borderId="32" xfId="1" applyFont="1" applyBorder="1" applyAlignment="1">
      <alignment horizontal="center"/>
    </xf>
    <xf numFmtId="9" fontId="0" fillId="0" borderId="33" xfId="1" applyFont="1" applyBorder="1" applyAlignment="1">
      <alignment horizontal="center"/>
    </xf>
    <xf numFmtId="164" fontId="15" fillId="0" borderId="0" xfId="0" applyNumberFormat="1" applyFont="1"/>
    <xf numFmtId="165" fontId="15" fillId="0" borderId="0" xfId="1" applyNumberFormat="1" applyFont="1" applyBorder="1"/>
    <xf numFmtId="9" fontId="0" fillId="0" borderId="18" xfId="0" applyNumberFormat="1" applyBorder="1" applyAlignment="1">
      <alignment horizontal="center"/>
    </xf>
    <xf numFmtId="9" fontId="0" fillId="0" borderId="32" xfId="0" applyNumberFormat="1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33" fillId="0" borderId="11" xfId="0" applyFont="1" applyFill="1" applyBorder="1" applyAlignment="1"/>
    <xf numFmtId="0" fontId="21" fillId="0" borderId="0" xfId="0" applyFont="1" applyFill="1" applyBorder="1" applyAlignment="1">
      <alignment horizontal="center"/>
    </xf>
    <xf numFmtId="0" fontId="21" fillId="0" borderId="32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0" xfId="0" applyNumberFormat="1" applyAlignment="1">
      <alignment horizontal="center"/>
    </xf>
    <xf numFmtId="0" fontId="16" fillId="15" borderId="44" xfId="0" applyFont="1" applyFill="1" applyBorder="1"/>
    <xf numFmtId="0" fontId="16" fillId="0" borderId="45" xfId="0" applyFont="1" applyBorder="1"/>
    <xf numFmtId="0" fontId="41" fillId="0" borderId="46" xfId="0" applyFont="1" applyBorder="1"/>
    <xf numFmtId="0" fontId="16" fillId="0" borderId="46" xfId="0" applyFont="1" applyBorder="1"/>
    <xf numFmtId="0" fontId="16" fillId="0" borderId="47" xfId="0" applyFont="1" applyBorder="1"/>
    <xf numFmtId="0" fontId="16" fillId="0" borderId="48" xfId="0" applyFont="1" applyBorder="1"/>
    <xf numFmtId="0" fontId="16" fillId="0" borderId="18" xfId="0" applyFont="1" applyBorder="1"/>
    <xf numFmtId="0" fontId="16" fillId="0" borderId="49" xfId="0" applyFont="1" applyBorder="1"/>
    <xf numFmtId="0" fontId="16" fillId="0" borderId="50" xfId="0" applyFont="1" applyBorder="1"/>
    <xf numFmtId="164" fontId="42" fillId="0" borderId="0" xfId="0" applyNumberFormat="1" applyFont="1"/>
    <xf numFmtId="164" fontId="42" fillId="0" borderId="51" xfId="0" applyNumberFormat="1" applyFont="1" applyBorder="1"/>
    <xf numFmtId="0" fontId="16" fillId="0" borderId="52" xfId="0" applyFont="1" applyBorder="1"/>
    <xf numFmtId="164" fontId="42" fillId="0" borderId="53" xfId="0" applyNumberFormat="1" applyFont="1" applyBorder="1"/>
    <xf numFmtId="164" fontId="42" fillId="0" borderId="54" xfId="0" applyNumberFormat="1" applyFont="1" applyBorder="1"/>
    <xf numFmtId="0" fontId="41" fillId="0" borderId="0" xfId="0" applyFont="1"/>
    <xf numFmtId="165" fontId="42" fillId="16" borderId="0" xfId="1" applyNumberFormat="1" applyFont="1" applyFill="1" applyBorder="1"/>
    <xf numFmtId="165" fontId="42" fillId="0" borderId="0" xfId="1" applyNumberFormat="1" applyFont="1" applyFill="1" applyBorder="1"/>
    <xf numFmtId="165" fontId="42" fillId="0" borderId="51" xfId="1" applyNumberFormat="1" applyFont="1" applyFill="1" applyBorder="1"/>
    <xf numFmtId="165" fontId="42" fillId="17" borderId="0" xfId="1" applyNumberFormat="1" applyFont="1" applyFill="1" applyBorder="1"/>
    <xf numFmtId="165" fontId="42" fillId="0" borderId="53" xfId="1" applyNumberFormat="1" applyFont="1" applyFill="1" applyBorder="1"/>
    <xf numFmtId="165" fontId="42" fillId="0" borderId="54" xfId="1" applyNumberFormat="1" applyFont="1" applyFill="1" applyBorder="1"/>
    <xf numFmtId="0" fontId="0" fillId="0" borderId="6" xfId="0" applyBorder="1"/>
    <xf numFmtId="0" fontId="1" fillId="19" borderId="86" xfId="6" applyFill="1" applyBorder="1" applyAlignment="1">
      <alignment horizontal="center"/>
    </xf>
    <xf numFmtId="0" fontId="1" fillId="0" borderId="86" xfId="6" applyFill="1" applyBorder="1" applyAlignment="1">
      <alignment horizontal="center"/>
    </xf>
    <xf numFmtId="0" fontId="21" fillId="19" borderId="107" xfId="0" applyFont="1" applyFill="1" applyBorder="1" applyAlignment="1">
      <alignment horizontal="center"/>
    </xf>
    <xf numFmtId="0" fontId="21" fillId="39" borderId="106" xfId="0" applyFont="1" applyFill="1" applyBorder="1" applyAlignment="1">
      <alignment horizontal="center"/>
    </xf>
    <xf numFmtId="0" fontId="21" fillId="0" borderId="11" xfId="0" applyFont="1" applyBorder="1" applyAlignment="1">
      <alignment horizontal="right"/>
    </xf>
    <xf numFmtId="0" fontId="21" fillId="0" borderId="32" xfId="0" applyFont="1" applyBorder="1" applyAlignment="1">
      <alignment horizontal="right"/>
    </xf>
    <xf numFmtId="1" fontId="0" fillId="0" borderId="32" xfId="0" applyNumberFormat="1" applyBorder="1"/>
    <xf numFmtId="1" fontId="0" fillId="0" borderId="15" xfId="0" applyNumberFormat="1" applyBorder="1"/>
    <xf numFmtId="0" fontId="6" fillId="0" borderId="63" xfId="0" applyFont="1" applyBorder="1"/>
    <xf numFmtId="0" fontId="0" fillId="26" borderId="121" xfId="0" applyFont="1" applyFill="1" applyBorder="1"/>
    <xf numFmtId="0" fontId="9" fillId="19" borderId="0" xfId="0" applyFont="1" applyFill="1"/>
    <xf numFmtId="0" fontId="43" fillId="15" borderId="44" xfId="0" applyFont="1" applyFill="1" applyBorder="1"/>
    <xf numFmtId="0" fontId="43" fillId="19" borderId="45" xfId="0" applyFont="1" applyFill="1" applyBorder="1"/>
    <xf numFmtId="0" fontId="44" fillId="19" borderId="46" xfId="0" applyFont="1" applyFill="1" applyBorder="1"/>
    <xf numFmtId="0" fontId="43" fillId="19" borderId="46" xfId="0" applyFont="1" applyFill="1" applyBorder="1"/>
    <xf numFmtId="0" fontId="43" fillId="19" borderId="47" xfId="0" applyFont="1" applyFill="1" applyBorder="1"/>
    <xf numFmtId="0" fontId="43" fillId="19" borderId="18" xfId="0" applyFont="1" applyFill="1" applyBorder="1"/>
    <xf numFmtId="0" fontId="43" fillId="19" borderId="49" xfId="0" applyFont="1" applyFill="1" applyBorder="1"/>
    <xf numFmtId="0" fontId="43" fillId="19" borderId="48" xfId="0" applyFont="1" applyFill="1" applyBorder="1"/>
    <xf numFmtId="0" fontId="43" fillId="19" borderId="50" xfId="0" applyFont="1" applyFill="1" applyBorder="1"/>
    <xf numFmtId="0" fontId="43" fillId="19" borderId="52" xfId="0" applyFont="1" applyFill="1" applyBorder="1"/>
    <xf numFmtId="164" fontId="9" fillId="0" borderId="0" xfId="0" applyNumberFormat="1" applyFont="1"/>
    <xf numFmtId="0" fontId="33" fillId="0" borderId="6" xfId="0" applyFont="1" applyBorder="1"/>
    <xf numFmtId="0" fontId="0" fillId="0" borderId="0" xfId="0" applyBorder="1" applyAlignment="1">
      <alignment horizontal="right"/>
    </xf>
    <xf numFmtId="0" fontId="0" fillId="30" borderId="0" xfId="0" applyFill="1" applyBorder="1"/>
    <xf numFmtId="0" fontId="0" fillId="30" borderId="32" xfId="0" applyFill="1" applyBorder="1"/>
    <xf numFmtId="0" fontId="0" fillId="31" borderId="0" xfId="0" applyFill="1" applyBorder="1" applyAlignment="1">
      <alignment horizontal="right"/>
    </xf>
    <xf numFmtId="0" fontId="0" fillId="31" borderId="0" xfId="0" applyFill="1" applyBorder="1"/>
    <xf numFmtId="1" fontId="0" fillId="19" borderId="32" xfId="0" applyNumberFormat="1" applyFill="1" applyBorder="1"/>
    <xf numFmtId="0" fontId="0" fillId="31" borderId="18" xfId="0" applyFill="1" applyBorder="1"/>
    <xf numFmtId="1" fontId="0" fillId="19" borderId="18" xfId="0" applyNumberFormat="1" applyFill="1" applyBorder="1"/>
    <xf numFmtId="1" fontId="0" fillId="0" borderId="33" xfId="0" applyNumberFormat="1" applyBorder="1"/>
    <xf numFmtId="0" fontId="6" fillId="0" borderId="20" xfId="0" applyFont="1" applyBorder="1"/>
    <xf numFmtId="0" fontId="0" fillId="26" borderId="0" xfId="0" applyFill="1" applyBorder="1"/>
    <xf numFmtId="0" fontId="0" fillId="28" borderId="0" xfId="0" applyFill="1" applyBorder="1"/>
    <xf numFmtId="0" fontId="0" fillId="28" borderId="32" xfId="0" applyFill="1" applyBorder="1"/>
    <xf numFmtId="0" fontId="0" fillId="26" borderId="18" xfId="0" applyFill="1" applyBorder="1"/>
    <xf numFmtId="0" fontId="0" fillId="28" borderId="18" xfId="0" applyFill="1" applyBorder="1"/>
    <xf numFmtId="0" fontId="0" fillId="28" borderId="33" xfId="0" applyFill="1" applyBorder="1"/>
    <xf numFmtId="0" fontId="0" fillId="10" borderId="0" xfId="0" applyFill="1" applyBorder="1"/>
    <xf numFmtId="0" fontId="0" fillId="10" borderId="18" xfId="0" applyFill="1" applyBorder="1"/>
    <xf numFmtId="0" fontId="6" fillId="43" borderId="0" xfId="0" applyFont="1" applyFill="1"/>
    <xf numFmtId="0" fontId="0" fillId="43" borderId="0" xfId="0" applyFill="1"/>
    <xf numFmtId="0" fontId="8" fillId="9" borderId="0" xfId="0" applyFont="1" applyFill="1" applyAlignment="1">
      <alignment horizontal="center"/>
    </xf>
    <xf numFmtId="0" fontId="8" fillId="9" borderId="18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left" vertical="center"/>
    </xf>
    <xf numFmtId="0" fontId="8" fillId="9" borderId="20" xfId="0" applyFont="1" applyFill="1" applyBorder="1" applyAlignment="1">
      <alignment horizontal="left" vertical="center"/>
    </xf>
    <xf numFmtId="0" fontId="45" fillId="9" borderId="122" xfId="0" applyFont="1" applyFill="1" applyBorder="1"/>
    <xf numFmtId="0" fontId="45" fillId="9" borderId="123" xfId="0" applyFont="1" applyFill="1" applyBorder="1"/>
    <xf numFmtId="0" fontId="9" fillId="9" borderId="42" xfId="0" applyFont="1" applyFill="1" applyBorder="1"/>
    <xf numFmtId="166" fontId="0" fillId="26" borderId="0" xfId="0" applyNumberFormat="1" applyFill="1" applyBorder="1"/>
    <xf numFmtId="166" fontId="0" fillId="26" borderId="18" xfId="0" applyNumberFormat="1" applyFill="1" applyBorder="1"/>
    <xf numFmtId="166" fontId="0" fillId="28" borderId="0" xfId="0" applyNumberFormat="1" applyFill="1" applyBorder="1"/>
    <xf numFmtId="166" fontId="0" fillId="28" borderId="18" xfId="0" applyNumberFormat="1" applyFill="1" applyBorder="1"/>
    <xf numFmtId="0" fontId="21" fillId="0" borderId="0" xfId="0" applyFont="1"/>
    <xf numFmtId="0" fontId="6" fillId="0" borderId="32" xfId="0" applyFont="1" applyBorder="1"/>
    <xf numFmtId="166" fontId="46" fillId="27" borderId="0" xfId="0" applyNumberFormat="1" applyFont="1" applyFill="1" applyBorder="1"/>
    <xf numFmtId="166" fontId="0" fillId="0" borderId="32" xfId="0" applyNumberFormat="1" applyBorder="1"/>
    <xf numFmtId="166" fontId="46" fillId="27" borderId="18" xfId="0" applyNumberFormat="1" applyFont="1" applyFill="1" applyBorder="1"/>
    <xf numFmtId="0" fontId="6" fillId="0" borderId="20" xfId="0" applyFont="1" applyFill="1" applyBorder="1"/>
    <xf numFmtId="166" fontId="0" fillId="0" borderId="33" xfId="0" applyNumberFormat="1" applyBorder="1"/>
    <xf numFmtId="0" fontId="0" fillId="0" borderId="15" xfId="0" applyFill="1" applyBorder="1"/>
    <xf numFmtId="0" fontId="0" fillId="0" borderId="18" xfId="0" applyFill="1" applyBorder="1"/>
    <xf numFmtId="0" fontId="0" fillId="0" borderId="33" xfId="0" applyFill="1" applyBorder="1"/>
    <xf numFmtId="0" fontId="33" fillId="0" borderId="0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33" fillId="43" borderId="11" xfId="0" applyFont="1" applyFill="1" applyBorder="1" applyAlignment="1">
      <alignment horizontal="right"/>
    </xf>
    <xf numFmtId="0" fontId="33" fillId="43" borderId="0" xfId="0" applyFont="1" applyFill="1" applyBorder="1"/>
    <xf numFmtId="0" fontId="33" fillId="43" borderId="11" xfId="0" applyFont="1" applyFill="1" applyBorder="1" applyAlignment="1"/>
    <xf numFmtId="0" fontId="33" fillId="43" borderId="32" xfId="0" applyFont="1" applyFill="1" applyBorder="1" applyAlignment="1"/>
    <xf numFmtId="0" fontId="33" fillId="43" borderId="0" xfId="0" applyFont="1" applyFill="1" applyBorder="1" applyAlignment="1"/>
    <xf numFmtId="0" fontId="0" fillId="0" borderId="124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37" xfId="0" applyBorder="1" applyAlignment="1">
      <alignment horizontal="center"/>
    </xf>
    <xf numFmtId="0" fontId="2" fillId="2" borderId="125" xfId="2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2" borderId="1" xfId="2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126" xfId="2" applyBorder="1" applyAlignment="1">
      <alignment horizontal="center"/>
    </xf>
    <xf numFmtId="0" fontId="2" fillId="2" borderId="127" xfId="2" applyBorder="1" applyAlignment="1">
      <alignment horizontal="center"/>
    </xf>
    <xf numFmtId="0" fontId="14" fillId="0" borderId="25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4" xfId="0" quotePrefix="1" applyFont="1" applyFill="1" applyBorder="1" applyAlignment="1">
      <alignment horizontal="center" vertical="center"/>
    </xf>
    <xf numFmtId="0" fontId="14" fillId="0" borderId="21" xfId="0" quotePrefix="1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0" fontId="49" fillId="0" borderId="11" xfId="0" applyFont="1" applyBorder="1"/>
    <xf numFmtId="0" fontId="49" fillId="0" borderId="11" xfId="0" quotePrefix="1" applyFont="1" applyBorder="1"/>
    <xf numFmtId="0" fontId="8" fillId="0" borderId="32" xfId="0" applyFont="1" applyFill="1" applyBorder="1"/>
    <xf numFmtId="0" fontId="8" fillId="0" borderId="33" xfId="0" applyFont="1" applyFill="1" applyBorder="1"/>
    <xf numFmtId="0" fontId="0" fillId="0" borderId="65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44" borderId="40" xfId="0" applyFill="1" applyBorder="1" applyAlignment="1">
      <alignment horizontal="center"/>
    </xf>
    <xf numFmtId="0" fontId="0" fillId="44" borderId="22" xfId="0" applyFill="1" applyBorder="1" applyAlignment="1">
      <alignment horizontal="center"/>
    </xf>
    <xf numFmtId="165" fontId="19" fillId="0" borderId="0" xfId="1" applyNumberFormat="1" applyFont="1" applyBorder="1"/>
    <xf numFmtId="0" fontId="0" fillId="20" borderId="85" xfId="0" applyFill="1" applyBorder="1"/>
    <xf numFmtId="0" fontId="1" fillId="20" borderId="86" xfId="5" applyFill="1" applyBorder="1" applyAlignment="1">
      <alignment horizontal="center"/>
    </xf>
    <xf numFmtId="0" fontId="0" fillId="20" borderId="86" xfId="0" applyFill="1" applyBorder="1" applyAlignment="1">
      <alignment horizontal="center"/>
    </xf>
    <xf numFmtId="0" fontId="5" fillId="20" borderId="86" xfId="4" applyFill="1" applyBorder="1" applyAlignment="1">
      <alignment horizontal="center"/>
    </xf>
    <xf numFmtId="1" fontId="5" fillId="20" borderId="86" xfId="4" applyNumberFormat="1" applyFill="1" applyBorder="1" applyAlignment="1">
      <alignment horizontal="center"/>
    </xf>
    <xf numFmtId="166" fontId="5" fillId="20" borderId="86" xfId="4" applyNumberFormat="1" applyFill="1" applyBorder="1" applyAlignment="1">
      <alignment horizontal="center"/>
    </xf>
    <xf numFmtId="166" fontId="21" fillId="20" borderId="86" xfId="4" applyNumberFormat="1" applyFont="1" applyFill="1" applyBorder="1" applyAlignment="1">
      <alignment horizontal="center"/>
    </xf>
    <xf numFmtId="166" fontId="21" fillId="20" borderId="87" xfId="4" applyNumberFormat="1" applyFont="1" applyFill="1" applyBorder="1" applyAlignment="1">
      <alignment horizontal="center"/>
    </xf>
    <xf numFmtId="166" fontId="9" fillId="0" borderId="8" xfId="0" applyNumberFormat="1" applyFont="1" applyBorder="1" applyAlignment="1">
      <alignment horizontal="center"/>
    </xf>
    <xf numFmtId="166" fontId="9" fillId="0" borderId="7" xfId="0" applyNumberFormat="1" applyFont="1" applyBorder="1" applyAlignment="1">
      <alignment horizontal="center"/>
    </xf>
    <xf numFmtId="166" fontId="9" fillId="0" borderId="17" xfId="0" applyNumberFormat="1" applyFont="1" applyBorder="1" applyAlignment="1">
      <alignment horizontal="center"/>
    </xf>
    <xf numFmtId="166" fontId="9" fillId="0" borderId="16" xfId="0" applyNumberFormat="1" applyFont="1" applyBorder="1" applyAlignment="1">
      <alignment horizontal="center"/>
    </xf>
    <xf numFmtId="0" fontId="9" fillId="0" borderId="29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0" fillId="0" borderId="70" xfId="0" quotePrefix="1" applyBorder="1" applyAlignment="1">
      <alignment horizontal="center"/>
    </xf>
    <xf numFmtId="0" fontId="9" fillId="0" borderId="12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/>
    </xf>
    <xf numFmtId="0" fontId="9" fillId="0" borderId="37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17" fontId="14" fillId="0" borderId="29" xfId="0" applyNumberFormat="1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/>
    </xf>
    <xf numFmtId="0" fontId="9" fillId="0" borderId="29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/>
    </xf>
    <xf numFmtId="0" fontId="9" fillId="0" borderId="128" xfId="0" applyFont="1" applyBorder="1" applyAlignment="1">
      <alignment horizontal="center"/>
    </xf>
    <xf numFmtId="2" fontId="14" fillId="0" borderId="24" xfId="0" applyNumberFormat="1" applyFont="1" applyBorder="1" applyAlignment="1">
      <alignment horizontal="center"/>
    </xf>
    <xf numFmtId="2" fontId="14" fillId="0" borderId="21" xfId="0" applyNumberFormat="1" applyFont="1" applyBorder="1" applyAlignment="1">
      <alignment horizontal="center"/>
    </xf>
    <xf numFmtId="0" fontId="9" fillId="0" borderId="29" xfId="0" quotePrefix="1" applyFont="1" applyBorder="1" applyAlignment="1">
      <alignment horizontal="center"/>
    </xf>
    <xf numFmtId="0" fontId="9" fillId="0" borderId="30" xfId="0" quotePrefix="1" applyFont="1" applyBorder="1" applyAlignment="1">
      <alignment horizontal="center"/>
    </xf>
    <xf numFmtId="2" fontId="0" fillId="19" borderId="0" xfId="0" applyNumberFormat="1" applyFill="1" applyBorder="1"/>
    <xf numFmtId="0" fontId="21" fillId="0" borderId="0" xfId="0" quotePrefix="1" applyFont="1" applyBorder="1"/>
    <xf numFmtId="0" fontId="28" fillId="0" borderId="55" xfId="0" applyFont="1" applyFill="1" applyBorder="1"/>
    <xf numFmtId="0" fontId="28" fillId="0" borderId="0" xfId="0" applyFont="1" applyFill="1" applyBorder="1"/>
    <xf numFmtId="0" fontId="28" fillId="0" borderId="44" xfId="0" applyFont="1" applyBorder="1"/>
    <xf numFmtId="0" fontId="28" fillId="19" borderId="46" xfId="0" applyFont="1" applyFill="1" applyBorder="1"/>
    <xf numFmtId="0" fontId="28" fillId="0" borderId="47" xfId="0" applyFont="1" applyBorder="1"/>
    <xf numFmtId="0" fontId="28" fillId="0" borderId="55" xfId="0" applyFont="1" applyBorder="1"/>
    <xf numFmtId="0" fontId="28" fillId="19" borderId="0" xfId="0" applyFont="1" applyFill="1" applyBorder="1"/>
    <xf numFmtId="0" fontId="28" fillId="0" borderId="51" xfId="0" applyFont="1" applyBorder="1"/>
    <xf numFmtId="0" fontId="1" fillId="20" borderId="86" xfId="6" applyFill="1" applyBorder="1" applyAlignment="1">
      <alignment horizontal="center"/>
    </xf>
    <xf numFmtId="0" fontId="50" fillId="0" borderId="8" xfId="0" quotePrefix="1" applyFont="1" applyBorder="1" applyAlignment="1">
      <alignment horizontal="center" vertical="center"/>
    </xf>
    <xf numFmtId="0" fontId="50" fillId="0" borderId="7" xfId="0" quotePrefix="1" applyFont="1" applyBorder="1" applyAlignment="1">
      <alignment horizontal="center" vertical="center"/>
    </xf>
    <xf numFmtId="0" fontId="50" fillId="0" borderId="17" xfId="0" quotePrefix="1" applyFont="1" applyBorder="1" applyAlignment="1">
      <alignment horizontal="center" vertical="center"/>
    </xf>
    <xf numFmtId="0" fontId="50" fillId="0" borderId="16" xfId="0" quotePrefix="1" applyFont="1" applyBorder="1" applyAlignment="1">
      <alignment horizontal="center" vertical="center"/>
    </xf>
    <xf numFmtId="0" fontId="9" fillId="45" borderId="29" xfId="0" applyFont="1" applyFill="1" applyBorder="1" applyAlignment="1">
      <alignment horizontal="center" vertical="center"/>
    </xf>
    <xf numFmtId="2" fontId="9" fillId="0" borderId="29" xfId="0" applyNumberFormat="1" applyFont="1" applyFill="1" applyBorder="1" applyAlignment="1">
      <alignment horizontal="center" vertical="center"/>
    </xf>
    <xf numFmtId="0" fontId="9" fillId="45" borderId="39" xfId="0" applyFont="1" applyFill="1" applyBorder="1" applyAlignment="1">
      <alignment horizontal="center"/>
    </xf>
    <xf numFmtId="0" fontId="14" fillId="11" borderId="29" xfId="0" applyFont="1" applyFill="1" applyBorder="1" applyAlignment="1">
      <alignment horizontal="center" vertical="center"/>
    </xf>
    <xf numFmtId="0" fontId="12" fillId="8" borderId="9" xfId="0" applyFont="1" applyFill="1" applyBorder="1"/>
    <xf numFmtId="0" fontId="14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53" xfId="0" applyFont="1" applyBorder="1"/>
    <xf numFmtId="0" fontId="9" fillId="0" borderId="56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9" fillId="0" borderId="55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9" borderId="44" xfId="0" applyFont="1" applyFill="1" applyBorder="1"/>
    <xf numFmtId="0" fontId="9" fillId="9" borderId="46" xfId="0" applyFont="1" applyFill="1" applyBorder="1"/>
    <xf numFmtId="0" fontId="9" fillId="9" borderId="56" xfId="0" applyFont="1" applyFill="1" applyBorder="1"/>
    <xf numFmtId="0" fontId="9" fillId="9" borderId="53" xfId="0" applyFont="1" applyFill="1" applyBorder="1"/>
    <xf numFmtId="0" fontId="25" fillId="0" borderId="0" xfId="0" applyFont="1" applyAlignment="1">
      <alignment horizontal="center"/>
    </xf>
    <xf numFmtId="0" fontId="9" fillId="0" borderId="136" xfId="0" applyFont="1" applyBorder="1" applyAlignment="1">
      <alignment horizontal="center"/>
    </xf>
    <xf numFmtId="0" fontId="14" fillId="46" borderId="75" xfId="0" applyFont="1" applyFill="1" applyBorder="1" applyAlignment="1">
      <alignment horizontal="center"/>
    </xf>
    <xf numFmtId="0" fontId="14" fillId="46" borderId="76" xfId="0" applyFont="1" applyFill="1" applyBorder="1" applyAlignment="1">
      <alignment horizontal="center"/>
    </xf>
    <xf numFmtId="0" fontId="14" fillId="46" borderId="135" xfId="0" applyFont="1" applyFill="1" applyBorder="1" applyAlignment="1">
      <alignment horizontal="center"/>
    </xf>
    <xf numFmtId="0" fontId="9" fillId="47" borderId="75" xfId="0" applyFont="1" applyFill="1" applyBorder="1" applyAlignment="1">
      <alignment horizontal="center"/>
    </xf>
    <xf numFmtId="0" fontId="9" fillId="47" borderId="76" xfId="0" applyFont="1" applyFill="1" applyBorder="1" applyAlignment="1">
      <alignment horizontal="center"/>
    </xf>
    <xf numFmtId="0" fontId="9" fillId="47" borderId="136" xfId="0" applyFont="1" applyFill="1" applyBorder="1" applyAlignment="1">
      <alignment horizontal="center"/>
    </xf>
    <xf numFmtId="0" fontId="9" fillId="0" borderId="137" xfId="0" applyFont="1" applyBorder="1" applyAlignment="1">
      <alignment horizontal="center"/>
    </xf>
    <xf numFmtId="0" fontId="9" fillId="0" borderId="132" xfId="0" applyFont="1" applyBorder="1" applyAlignment="1">
      <alignment horizontal="center"/>
    </xf>
    <xf numFmtId="0" fontId="9" fillId="0" borderId="133" xfId="0" applyFont="1" applyBorder="1" applyAlignment="1">
      <alignment horizontal="center"/>
    </xf>
    <xf numFmtId="0" fontId="9" fillId="0" borderId="134" xfId="0" applyFont="1" applyBorder="1" applyAlignment="1">
      <alignment horizontal="center"/>
    </xf>
    <xf numFmtId="0" fontId="9" fillId="0" borderId="129" xfId="0" applyFont="1" applyBorder="1"/>
    <xf numFmtId="0" fontId="9" fillId="9" borderId="0" xfId="0" applyFont="1" applyFill="1" applyBorder="1"/>
    <xf numFmtId="0" fontId="11" fillId="7" borderId="130" xfId="0" applyFont="1" applyFill="1" applyBorder="1"/>
    <xf numFmtId="0" fontId="11" fillId="48" borderId="131" xfId="0" applyFont="1" applyFill="1" applyBorder="1"/>
    <xf numFmtId="0" fontId="9" fillId="46" borderId="130" xfId="0" applyFont="1" applyFill="1" applyBorder="1"/>
    <xf numFmtId="0" fontId="9" fillId="47" borderId="131" xfId="0" applyFont="1" applyFill="1" applyBorder="1"/>
    <xf numFmtId="0" fontId="51" fillId="0" borderId="0" xfId="0" applyFont="1"/>
    <xf numFmtId="0" fontId="9" fillId="0" borderId="21" xfId="0" quotePrefix="1" applyFont="1" applyFill="1" applyBorder="1" applyAlignment="1">
      <alignment horizontal="center"/>
    </xf>
    <xf numFmtId="0" fontId="9" fillId="0" borderId="22" xfId="0" quotePrefix="1" applyFont="1" applyFill="1" applyBorder="1" applyAlignment="1">
      <alignment horizontal="center"/>
    </xf>
    <xf numFmtId="0" fontId="0" fillId="0" borderId="11" xfId="0" applyBorder="1" applyAlignment="1"/>
    <xf numFmtId="2" fontId="0" fillId="0" borderId="98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0" fontId="33" fillId="26" borderId="0" xfId="0" applyFont="1" applyFill="1" applyAlignment="1">
      <alignment horizontal="right"/>
    </xf>
    <xf numFmtId="0" fontId="0" fillId="26" borderId="0" xfId="0" applyFill="1"/>
    <xf numFmtId="0" fontId="33" fillId="49" borderId="0" xfId="0" applyFont="1" applyFill="1"/>
    <xf numFmtId="0" fontId="0" fillId="49" borderId="0" xfId="0" applyFill="1"/>
    <xf numFmtId="166" fontId="0" fillId="19" borderId="0" xfId="0" applyNumberFormat="1" applyFill="1"/>
    <xf numFmtId="0" fontId="6" fillId="31" borderId="0" xfId="0" applyFont="1" applyFill="1"/>
    <xf numFmtId="0" fontId="0" fillId="31" borderId="0" xfId="0" applyFill="1"/>
    <xf numFmtId="2" fontId="0" fillId="0" borderId="0" xfId="0" applyNumberFormat="1" applyFill="1"/>
    <xf numFmtId="0" fontId="0" fillId="0" borderId="6" xfId="0" applyBorder="1" applyAlignment="1">
      <alignment horizontal="center"/>
    </xf>
    <xf numFmtId="0" fontId="0" fillId="0" borderId="20" xfId="0" applyFill="1" applyBorder="1"/>
    <xf numFmtId="0" fontId="0" fillId="0" borderId="32" xfId="0" applyFill="1" applyBorder="1"/>
    <xf numFmtId="0" fontId="6" fillId="19" borderId="6" xfId="0" applyFont="1" applyFill="1" applyBorder="1"/>
    <xf numFmtId="0" fontId="0" fillId="19" borderId="20" xfId="0" applyFill="1" applyBorder="1"/>
    <xf numFmtId="14" fontId="0" fillId="0" borderId="0" xfId="0" applyNumberFormat="1"/>
    <xf numFmtId="166" fontId="40" fillId="19" borderId="0" xfId="0" applyNumberFormat="1" applyFont="1" applyFill="1"/>
    <xf numFmtId="11" fontId="0" fillId="0" borderId="53" xfId="0" applyNumberFormat="1" applyBorder="1"/>
    <xf numFmtId="11" fontId="0" fillId="0" borderId="0" xfId="0" applyNumberFormat="1"/>
    <xf numFmtId="0" fontId="0" fillId="0" borderId="40" xfId="0" quotePrefix="1" applyBorder="1" applyAlignment="1">
      <alignment horizontal="center"/>
    </xf>
    <xf numFmtId="0" fontId="15" fillId="0" borderId="40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0" fillId="44" borderId="19" xfId="0" applyFill="1" applyBorder="1" applyAlignment="1">
      <alignment horizontal="center"/>
    </xf>
    <xf numFmtId="0" fontId="33" fillId="43" borderId="138" xfId="0" applyFont="1" applyFill="1" applyBorder="1" applyAlignment="1"/>
    <xf numFmtId="0" fontId="0" fillId="0" borderId="138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98" xfId="0" quotePrefix="1" applyBorder="1" applyAlignment="1">
      <alignment horizontal="center"/>
    </xf>
    <xf numFmtId="0" fontId="0" fillId="0" borderId="66" xfId="0" quotePrefix="1" applyBorder="1" applyAlignment="1">
      <alignment horizontal="center"/>
    </xf>
    <xf numFmtId="167" fontId="0" fillId="0" borderId="0" xfId="0" applyNumberFormat="1" applyBorder="1"/>
    <xf numFmtId="164" fontId="0" fillId="0" borderId="32" xfId="0" applyNumberFormat="1" applyBorder="1"/>
    <xf numFmtId="0" fontId="15" fillId="0" borderId="0" xfId="0" applyFont="1" applyBorder="1"/>
    <xf numFmtId="0" fontId="15" fillId="0" borderId="32" xfId="0" applyFont="1" applyBorder="1"/>
    <xf numFmtId="0" fontId="51" fillId="0" borderId="6" xfId="0" applyFont="1" applyBorder="1"/>
    <xf numFmtId="166" fontId="0" fillId="0" borderId="18" xfId="0" applyNumberFormat="1" applyBorder="1"/>
    <xf numFmtId="0" fontId="4" fillId="19" borderId="0" xfId="0" applyFont="1" applyFill="1" applyBorder="1"/>
    <xf numFmtId="0" fontId="4" fillId="19" borderId="18" xfId="0" applyFont="1" applyFill="1" applyBorder="1"/>
    <xf numFmtId="0" fontId="4" fillId="19" borderId="0" xfId="0" applyFont="1" applyFill="1" applyBorder="1" applyAlignment="1">
      <alignment horizontal="left"/>
    </xf>
    <xf numFmtId="0" fontId="0" fillId="19" borderId="0" xfId="0" applyFill="1" applyBorder="1" applyAlignment="1">
      <alignment horizontal="left"/>
    </xf>
    <xf numFmtId="0" fontId="4" fillId="2" borderId="126" xfId="2" applyFont="1" applyBorder="1" applyAlignment="1">
      <alignment horizontal="center"/>
    </xf>
    <xf numFmtId="0" fontId="4" fillId="2" borderId="1" xfId="2" applyFont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2" fillId="0" borderId="55" xfId="0" applyFont="1" applyBorder="1" applyAlignment="1">
      <alignment horizontal="center"/>
    </xf>
    <xf numFmtId="0" fontId="52" fillId="0" borderId="0" xfId="0" applyFont="1" applyBorder="1" applyAlignment="1">
      <alignment horizontal="center"/>
    </xf>
    <xf numFmtId="0" fontId="52" fillId="0" borderId="136" xfId="0" applyFont="1" applyBorder="1" applyAlignment="1">
      <alignment horizontal="center"/>
    </xf>
    <xf numFmtId="0" fontId="52" fillId="0" borderId="56" xfId="0" applyFont="1" applyBorder="1" applyAlignment="1">
      <alignment horizontal="center"/>
    </xf>
    <xf numFmtId="0" fontId="52" fillId="0" borderId="53" xfId="0" applyFont="1" applyBorder="1" applyAlignment="1">
      <alignment horizontal="center"/>
    </xf>
    <xf numFmtId="0" fontId="52" fillId="0" borderId="137" xfId="0" applyFont="1" applyBorder="1" applyAlignment="1">
      <alignment horizontal="center"/>
    </xf>
    <xf numFmtId="0" fontId="52" fillId="9" borderId="0" xfId="0" applyFont="1" applyFill="1" applyBorder="1"/>
    <xf numFmtId="0" fontId="52" fillId="0" borderId="51" xfId="0" applyFont="1" applyBorder="1" applyAlignment="1">
      <alignment horizontal="center"/>
    </xf>
    <xf numFmtId="0" fontId="52" fillId="9" borderId="44" xfId="0" applyFont="1" applyFill="1" applyBorder="1"/>
    <xf numFmtId="0" fontId="52" fillId="9" borderId="46" xfId="0" applyFont="1" applyFill="1" applyBorder="1"/>
    <xf numFmtId="0" fontId="52" fillId="0" borderId="46" xfId="0" applyFont="1" applyBorder="1"/>
    <xf numFmtId="0" fontId="52" fillId="9" borderId="56" xfId="0" applyFont="1" applyFill="1" applyBorder="1"/>
    <xf numFmtId="0" fontId="52" fillId="9" borderId="53" xfId="0" applyFont="1" applyFill="1" applyBorder="1"/>
    <xf numFmtId="0" fontId="52" fillId="0" borderId="53" xfId="0" applyFont="1" applyBorder="1"/>
    <xf numFmtId="0" fontId="6" fillId="0" borderId="130" xfId="0" applyFont="1" applyBorder="1" applyAlignment="1">
      <alignment horizontal="center"/>
    </xf>
    <xf numFmtId="0" fontId="18" fillId="0" borderId="77" xfId="0" applyFont="1" applyBorder="1"/>
    <xf numFmtId="0" fontId="18" fillId="0" borderId="139" xfId="0" applyFont="1" applyBorder="1"/>
    <xf numFmtId="0" fontId="18" fillId="0" borderId="131" xfId="0" applyFont="1" applyBorder="1"/>
    <xf numFmtId="0" fontId="54" fillId="0" borderId="0" xfId="0" applyFont="1"/>
    <xf numFmtId="2" fontId="15" fillId="0" borderId="98" xfId="0" applyNumberFormat="1" applyFont="1" applyBorder="1" applyAlignment="1">
      <alignment horizontal="center"/>
    </xf>
    <xf numFmtId="2" fontId="15" fillId="0" borderId="66" xfId="0" applyNumberFormat="1" applyFont="1" applyBorder="1" applyAlignment="1">
      <alignment horizontal="center"/>
    </xf>
    <xf numFmtId="2" fontId="15" fillId="0" borderId="40" xfId="0" applyNumberFormat="1" applyFont="1" applyBorder="1" applyAlignment="1">
      <alignment horizontal="center"/>
    </xf>
    <xf numFmtId="2" fontId="15" fillId="0" borderId="19" xfId="0" applyNumberFormat="1" applyFont="1" applyBorder="1" applyAlignment="1">
      <alignment horizontal="center"/>
    </xf>
    <xf numFmtId="0" fontId="56" fillId="0" borderId="11" xfId="0" applyFont="1" applyBorder="1" applyAlignment="1">
      <alignment horizontal="center"/>
    </xf>
    <xf numFmtId="0" fontId="56" fillId="0" borderId="15" xfId="0" applyFont="1" applyBorder="1" applyAlignment="1">
      <alignment horizontal="center"/>
    </xf>
    <xf numFmtId="0" fontId="55" fillId="0" borderId="124" xfId="0" applyFont="1" applyBorder="1" applyAlignment="1">
      <alignment horizontal="center"/>
    </xf>
    <xf numFmtId="0" fontId="55" fillId="0" borderId="98" xfId="0" applyFont="1" applyBorder="1" applyAlignment="1">
      <alignment horizontal="center"/>
    </xf>
    <xf numFmtId="0" fontId="55" fillId="0" borderId="39" xfId="0" applyFont="1" applyBorder="1" applyAlignment="1">
      <alignment horizontal="center"/>
    </xf>
    <xf numFmtId="0" fontId="55" fillId="0" borderId="40" xfId="0" applyFont="1" applyBorder="1" applyAlignment="1">
      <alignment horizontal="center"/>
    </xf>
    <xf numFmtId="0" fontId="57" fillId="0" borderId="98" xfId="0" applyFont="1" applyBorder="1" applyAlignment="1">
      <alignment horizontal="center"/>
    </xf>
    <xf numFmtId="0" fontId="57" fillId="0" borderId="66" xfId="0" applyFont="1" applyBorder="1" applyAlignment="1">
      <alignment horizontal="center"/>
    </xf>
    <xf numFmtId="0" fontId="57" fillId="0" borderId="65" xfId="0" applyFont="1" applyBorder="1" applyAlignment="1">
      <alignment horizontal="center"/>
    </xf>
    <xf numFmtId="0" fontId="57" fillId="0" borderId="98" xfId="0" quotePrefix="1" applyFont="1" applyBorder="1" applyAlignment="1">
      <alignment horizontal="center"/>
    </xf>
    <xf numFmtId="0" fontId="57" fillId="0" borderId="66" xfId="0" quotePrefix="1" applyFont="1" applyBorder="1" applyAlignment="1">
      <alignment horizontal="center"/>
    </xf>
    <xf numFmtId="0" fontId="57" fillId="0" borderId="40" xfId="0" applyFont="1" applyBorder="1" applyAlignment="1">
      <alignment horizontal="center"/>
    </xf>
    <xf numFmtId="0" fontId="57" fillId="0" borderId="19" xfId="0" applyFont="1" applyBorder="1" applyAlignment="1">
      <alignment horizontal="center"/>
    </xf>
    <xf numFmtId="0" fontId="57" fillId="0" borderId="70" xfId="0" quotePrefix="1" applyFont="1" applyBorder="1" applyAlignment="1">
      <alignment horizontal="center"/>
    </xf>
    <xf numFmtId="0" fontId="57" fillId="0" borderId="40" xfId="0" quotePrefix="1" applyFont="1" applyBorder="1" applyAlignment="1">
      <alignment horizontal="center"/>
    </xf>
    <xf numFmtId="0" fontId="57" fillId="0" borderId="70" xfId="0" applyFont="1" applyBorder="1" applyAlignment="1">
      <alignment horizontal="center"/>
    </xf>
    <xf numFmtId="2" fontId="56" fillId="0" borderId="98" xfId="0" applyNumberFormat="1" applyFont="1" applyBorder="1" applyAlignment="1">
      <alignment horizontal="center"/>
    </xf>
    <xf numFmtId="2" fontId="56" fillId="0" borderId="66" xfId="0" applyNumberFormat="1" applyFont="1" applyBorder="1" applyAlignment="1">
      <alignment horizontal="center"/>
    </xf>
    <xf numFmtId="2" fontId="56" fillId="0" borderId="40" xfId="0" applyNumberFormat="1" applyFont="1" applyBorder="1" applyAlignment="1">
      <alignment horizontal="center"/>
    </xf>
    <xf numFmtId="2" fontId="56" fillId="0" borderId="19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0" fontId="15" fillId="2" borderId="126" xfId="2" applyFont="1" applyBorder="1" applyAlignment="1">
      <alignment horizontal="center"/>
    </xf>
    <xf numFmtId="0" fontId="15" fillId="2" borderId="1" xfId="2" applyFont="1" applyAlignment="1">
      <alignment horizontal="center"/>
    </xf>
    <xf numFmtId="0" fontId="6" fillId="19" borderId="0" xfId="0" applyFont="1" applyFill="1" applyBorder="1" applyAlignment="1">
      <alignment horizontal="left"/>
    </xf>
    <xf numFmtId="0" fontId="6" fillId="19" borderId="0" xfId="0" applyFont="1" applyFill="1"/>
    <xf numFmtId="0" fontId="53" fillId="0" borderId="98" xfId="0" applyFont="1" applyBorder="1" applyAlignment="1">
      <alignment horizontal="center"/>
    </xf>
    <xf numFmtId="0" fontId="53" fillId="0" borderId="66" xfId="0" applyFont="1" applyBorder="1" applyAlignment="1">
      <alignment horizontal="center"/>
    </xf>
    <xf numFmtId="0" fontId="53" fillId="0" borderId="66" xfId="0" quotePrefix="1" applyFont="1" applyBorder="1" applyAlignment="1">
      <alignment horizontal="center"/>
    </xf>
    <xf numFmtId="0" fontId="56" fillId="0" borderId="19" xfId="0" applyFont="1" applyBorder="1" applyAlignment="1">
      <alignment horizontal="center"/>
    </xf>
    <xf numFmtId="0" fontId="53" fillId="0" borderId="19" xfId="0" applyFont="1" applyBorder="1" applyAlignment="1">
      <alignment horizontal="center"/>
    </xf>
    <xf numFmtId="0" fontId="56" fillId="0" borderId="40" xfId="0" applyFont="1" applyBorder="1" applyAlignment="1">
      <alignment horizontal="center"/>
    </xf>
    <xf numFmtId="0" fontId="53" fillId="0" borderId="40" xfId="0" applyFont="1" applyBorder="1" applyAlignment="1">
      <alignment horizontal="center"/>
    </xf>
    <xf numFmtId="0" fontId="53" fillId="0" borderId="98" xfId="0" quotePrefix="1" applyFont="1" applyBorder="1" applyAlignment="1">
      <alignment horizontal="center"/>
    </xf>
    <xf numFmtId="0" fontId="53" fillId="14" borderId="98" xfId="0" applyFont="1" applyFill="1" applyBorder="1" applyAlignment="1">
      <alignment horizontal="center"/>
    </xf>
    <xf numFmtId="0" fontId="53" fillId="14" borderId="66" xfId="0" applyFont="1" applyFill="1" applyBorder="1" applyAlignment="1">
      <alignment horizontal="center"/>
    </xf>
    <xf numFmtId="0" fontId="53" fillId="14" borderId="40" xfId="0" applyFont="1" applyFill="1" applyBorder="1" applyAlignment="1">
      <alignment horizontal="center"/>
    </xf>
    <xf numFmtId="0" fontId="53" fillId="14" borderId="19" xfId="0" applyFont="1" applyFill="1" applyBorder="1" applyAlignment="1">
      <alignment horizontal="center"/>
    </xf>
    <xf numFmtId="0" fontId="53" fillId="14" borderId="98" xfId="0" quotePrefix="1" applyFont="1" applyFill="1" applyBorder="1" applyAlignment="1">
      <alignment horizontal="center"/>
    </xf>
    <xf numFmtId="0" fontId="53" fillId="14" borderId="66" xfId="0" quotePrefix="1" applyFont="1" applyFill="1" applyBorder="1" applyAlignment="1">
      <alignment horizontal="center"/>
    </xf>
    <xf numFmtId="0" fontId="6" fillId="14" borderId="65" xfId="0" applyFont="1" applyFill="1" applyBorder="1" applyAlignment="1">
      <alignment horizontal="center"/>
    </xf>
    <xf numFmtId="0" fontId="6" fillId="14" borderId="98" xfId="0" applyFont="1" applyFill="1" applyBorder="1" applyAlignment="1">
      <alignment horizontal="center"/>
    </xf>
    <xf numFmtId="0" fontId="6" fillId="14" borderId="70" xfId="0" quotePrefix="1" applyFont="1" applyFill="1" applyBorder="1" applyAlignment="1">
      <alignment horizontal="center"/>
    </xf>
    <xf numFmtId="0" fontId="6" fillId="14" borderId="40" xfId="0" quotePrefix="1" applyFont="1" applyFill="1" applyBorder="1" applyAlignment="1">
      <alignment horizontal="center"/>
    </xf>
    <xf numFmtId="0" fontId="6" fillId="14" borderId="70" xfId="0" applyFont="1" applyFill="1" applyBorder="1" applyAlignment="1">
      <alignment horizontal="center"/>
    </xf>
    <xf numFmtId="0" fontId="6" fillId="14" borderId="40" xfId="0" applyFont="1" applyFill="1" applyBorder="1" applyAlignment="1">
      <alignment horizontal="center"/>
    </xf>
    <xf numFmtId="0" fontId="6" fillId="14" borderId="124" xfId="0" applyFont="1" applyFill="1" applyBorder="1" applyAlignment="1">
      <alignment horizontal="center"/>
    </xf>
    <xf numFmtId="0" fontId="6" fillId="14" borderId="66" xfId="0" applyFont="1" applyFill="1" applyBorder="1" applyAlignment="1">
      <alignment horizontal="center"/>
    </xf>
    <xf numFmtId="0" fontId="6" fillId="14" borderId="39" xfId="0" applyFont="1" applyFill="1" applyBorder="1" applyAlignment="1">
      <alignment horizontal="center"/>
    </xf>
    <xf numFmtId="0" fontId="6" fillId="14" borderId="19" xfId="0" applyFont="1" applyFill="1" applyBorder="1" applyAlignment="1">
      <alignment horizontal="center"/>
    </xf>
    <xf numFmtId="2" fontId="53" fillId="14" borderId="98" xfId="0" applyNumberFormat="1" applyFont="1" applyFill="1" applyBorder="1" applyAlignment="1">
      <alignment horizontal="center"/>
    </xf>
    <xf numFmtId="2" fontId="53" fillId="14" borderId="66" xfId="0" applyNumberFormat="1" applyFont="1" applyFill="1" applyBorder="1" applyAlignment="1">
      <alignment horizontal="center"/>
    </xf>
    <xf numFmtId="2" fontId="53" fillId="14" borderId="40" xfId="0" applyNumberFormat="1" applyFont="1" applyFill="1" applyBorder="1" applyAlignment="1">
      <alignment horizontal="center"/>
    </xf>
    <xf numFmtId="2" fontId="53" fillId="14" borderId="19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8" fillId="8" borderId="141" xfId="0" applyFont="1" applyFill="1" applyBorder="1"/>
    <xf numFmtId="1" fontId="6" fillId="0" borderId="55" xfId="0" applyNumberFormat="1" applyFont="1" applyBorder="1"/>
    <xf numFmtId="9" fontId="58" fillId="0" borderId="0" xfId="0" applyNumberFormat="1" applyFont="1" applyBorder="1" applyAlignment="1">
      <alignment horizontal="center" vertical="center"/>
    </xf>
    <xf numFmtId="0" fontId="33" fillId="0" borderId="11" xfId="0" applyFont="1" applyFill="1" applyBorder="1" applyAlignment="1">
      <alignment horizontal="left"/>
    </xf>
    <xf numFmtId="0" fontId="0" fillId="0" borderId="0" xfId="0" applyAlignment="1">
      <alignment wrapText="1"/>
    </xf>
    <xf numFmtId="0" fontId="61" fillId="0" borderId="61" xfId="0" applyFont="1" applyBorder="1" applyAlignment="1">
      <alignment vertical="center" wrapText="1"/>
    </xf>
    <xf numFmtId="0" fontId="61" fillId="0" borderId="62" xfId="0" applyFont="1" applyBorder="1" applyAlignment="1">
      <alignment horizontal="right" vertical="center" wrapText="1"/>
    </xf>
    <xf numFmtId="0" fontId="61" fillId="0" borderId="62" xfId="0" applyFont="1" applyBorder="1" applyAlignment="1">
      <alignment vertical="center" wrapText="1"/>
    </xf>
    <xf numFmtId="0" fontId="61" fillId="0" borderId="72" xfId="0" applyFont="1" applyBorder="1" applyAlignment="1">
      <alignment horizontal="right" vertical="center" wrapText="1"/>
    </xf>
    <xf numFmtId="0" fontId="61" fillId="27" borderId="61" xfId="0" applyFont="1" applyFill="1" applyBorder="1" applyAlignment="1">
      <alignment vertical="center" wrapText="1"/>
    </xf>
    <xf numFmtId="0" fontId="61" fillId="27" borderId="62" xfId="0" applyFont="1" applyFill="1" applyBorder="1" applyAlignment="1">
      <alignment horizontal="right" vertical="center" wrapText="1"/>
    </xf>
    <xf numFmtId="0" fontId="61" fillId="27" borderId="62" xfId="0" applyFont="1" applyFill="1" applyBorder="1" applyAlignment="1">
      <alignment vertical="center" wrapText="1"/>
    </xf>
    <xf numFmtId="0" fontId="61" fillId="27" borderId="72" xfId="0" applyFont="1" applyFill="1" applyBorder="1" applyAlignment="1">
      <alignment horizontal="right" vertical="center" wrapText="1"/>
    </xf>
    <xf numFmtId="0" fontId="61" fillId="26" borderId="61" xfId="0" applyFont="1" applyFill="1" applyBorder="1" applyAlignment="1">
      <alignment vertical="center" wrapText="1"/>
    </xf>
    <xf numFmtId="0" fontId="61" fillId="26" borderId="62" xfId="0" applyFont="1" applyFill="1" applyBorder="1" applyAlignment="1">
      <alignment horizontal="right" vertical="center" wrapText="1"/>
    </xf>
    <xf numFmtId="0" fontId="61" fillId="26" borderId="62" xfId="0" applyFont="1" applyFill="1" applyBorder="1" applyAlignment="1">
      <alignment vertical="center" wrapText="1"/>
    </xf>
    <xf numFmtId="0" fontId="61" fillId="26" borderId="72" xfId="0" applyFont="1" applyFill="1" applyBorder="1" applyAlignment="1">
      <alignment horizontal="right" vertical="center" wrapText="1"/>
    </xf>
    <xf numFmtId="0" fontId="61" fillId="0" borderId="143" xfId="0" applyFont="1" applyBorder="1" applyAlignment="1">
      <alignment vertical="center" wrapText="1"/>
    </xf>
    <xf numFmtId="0" fontId="61" fillId="0" borderId="63" xfId="0" applyFont="1" applyBorder="1" applyAlignment="1">
      <alignment vertical="center" wrapText="1"/>
    </xf>
    <xf numFmtId="0" fontId="61" fillId="0" borderId="63" xfId="0" applyFont="1" applyBorder="1" applyAlignment="1">
      <alignment horizontal="right" vertical="center" wrapText="1"/>
    </xf>
    <xf numFmtId="0" fontId="61" fillId="27" borderId="143" xfId="0" applyFont="1" applyFill="1" applyBorder="1" applyAlignment="1">
      <alignment vertical="center" wrapText="1"/>
    </xf>
    <xf numFmtId="0" fontId="61" fillId="27" borderId="63" xfId="0" applyFont="1" applyFill="1" applyBorder="1" applyAlignment="1">
      <alignment horizontal="right" vertical="center" wrapText="1"/>
    </xf>
    <xf numFmtId="0" fontId="61" fillId="27" borderId="63" xfId="0" applyFont="1" applyFill="1" applyBorder="1" applyAlignment="1">
      <alignment vertical="center" wrapText="1"/>
    </xf>
    <xf numFmtId="0" fontId="62" fillId="0" borderId="62" xfId="0" applyFont="1" applyBorder="1" applyAlignment="1">
      <alignment horizontal="right" vertical="center" wrapText="1"/>
    </xf>
    <xf numFmtId="0" fontId="63" fillId="0" borderId="0" xfId="0" applyFont="1" applyAlignment="1">
      <alignment wrapText="1"/>
    </xf>
    <xf numFmtId="0" fontId="63" fillId="0" borderId="0" xfId="0" applyFont="1"/>
    <xf numFmtId="0" fontId="38" fillId="0" borderId="63" xfId="0" applyFont="1" applyBorder="1" applyAlignment="1">
      <alignment vertical="center"/>
    </xf>
    <xf numFmtId="0" fontId="0" fillId="0" borderId="63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2" xfId="0" applyBorder="1" applyAlignment="1">
      <alignment horizontal="left" vertical="center"/>
    </xf>
    <xf numFmtId="0" fontId="7" fillId="33" borderId="62" xfId="0" applyFont="1" applyFill="1" applyBorder="1" applyAlignment="1">
      <alignment horizontal="left" vertical="center"/>
    </xf>
    <xf numFmtId="0" fontId="7" fillId="53" borderId="62" xfId="0" applyFont="1" applyFill="1" applyBorder="1" applyAlignment="1">
      <alignment horizontal="left" vertical="center"/>
    </xf>
    <xf numFmtId="0" fontId="0" fillId="32" borderId="62" xfId="0" applyFill="1" applyBorder="1" applyAlignment="1">
      <alignment horizontal="left" vertical="center"/>
    </xf>
    <xf numFmtId="0" fontId="0" fillId="54" borderId="62" xfId="0" applyFill="1" applyBorder="1" applyAlignment="1">
      <alignment horizontal="left" vertical="center"/>
    </xf>
    <xf numFmtId="0" fontId="0" fillId="19" borderId="62" xfId="0" applyFill="1" applyBorder="1" applyAlignment="1">
      <alignment horizontal="left" vertical="center"/>
    </xf>
    <xf numFmtId="0" fontId="0" fillId="39" borderId="62" xfId="0" applyFill="1" applyBorder="1" applyAlignment="1">
      <alignment horizontal="left" vertical="center"/>
    </xf>
    <xf numFmtId="0" fontId="4" fillId="0" borderId="62" xfId="0" applyFont="1" applyBorder="1" applyAlignment="1">
      <alignment horizontal="left" vertical="center"/>
    </xf>
    <xf numFmtId="0" fontId="0" fillId="7" borderId="62" xfId="0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66" fillId="0" borderId="62" xfId="0" applyFont="1" applyBorder="1" applyAlignment="1">
      <alignment horizontal="left" vertical="center" wrapText="1"/>
    </xf>
    <xf numFmtId="0" fontId="66" fillId="0" borderId="62" xfId="0" applyFont="1" applyBorder="1" applyAlignment="1">
      <alignment horizontal="left" vertical="center"/>
    </xf>
    <xf numFmtId="0" fontId="37" fillId="8" borderId="61" xfId="0" applyFont="1" applyFill="1" applyBorder="1" applyAlignment="1">
      <alignment horizontal="center" vertical="center" wrapText="1"/>
    </xf>
    <xf numFmtId="0" fontId="37" fillId="8" borderId="62" xfId="0" applyFont="1" applyFill="1" applyBorder="1" applyAlignment="1">
      <alignment horizontal="center" vertical="center" wrapText="1"/>
    </xf>
    <xf numFmtId="0" fontId="37" fillId="8" borderId="72" xfId="0" applyFont="1" applyFill="1" applyBorder="1" applyAlignment="1">
      <alignment horizontal="center" vertical="center" wrapText="1"/>
    </xf>
    <xf numFmtId="0" fontId="61" fillId="26" borderId="72" xfId="0" applyFont="1" applyFill="1" applyBorder="1" applyAlignment="1">
      <alignment vertical="center" wrapText="1"/>
    </xf>
    <xf numFmtId="0" fontId="61" fillId="0" borderId="72" xfId="0" applyFont="1" applyBorder="1" applyAlignment="1">
      <alignment vertical="center" wrapText="1"/>
    </xf>
    <xf numFmtId="0" fontId="61" fillId="0" borderId="144" xfId="0" applyFont="1" applyBorder="1" applyAlignment="1">
      <alignment vertical="center" wrapText="1"/>
    </xf>
    <xf numFmtId="0" fontId="61" fillId="27" borderId="144" xfId="0" applyFont="1" applyFill="1" applyBorder="1" applyAlignment="1">
      <alignment vertical="center" wrapText="1"/>
    </xf>
    <xf numFmtId="0" fontId="9" fillId="0" borderId="22" xfId="0" applyFont="1" applyBorder="1" applyAlignment="1">
      <alignment horizontal="center"/>
    </xf>
    <xf numFmtId="0" fontId="67" fillId="47" borderId="0" xfId="0" applyFont="1" applyFill="1" applyAlignment="1">
      <alignment horizontal="center" vertical="center"/>
    </xf>
    <xf numFmtId="0" fontId="68" fillId="20" borderId="0" xfId="0" applyFont="1" applyFill="1" applyAlignment="1">
      <alignment horizontal="center" vertical="center"/>
    </xf>
    <xf numFmtId="0" fontId="67" fillId="47" borderId="0" xfId="0" applyFont="1" applyFill="1" applyAlignment="1">
      <alignment horizontal="left" vertical="center"/>
    </xf>
    <xf numFmtId="0" fontId="68" fillId="20" borderId="0" xfId="0" applyFont="1" applyFill="1" applyAlignment="1">
      <alignment horizontal="left" vertical="center"/>
    </xf>
    <xf numFmtId="0" fontId="6" fillId="0" borderId="142" xfId="10"/>
    <xf numFmtId="164" fontId="43" fillId="0" borderId="0" xfId="0" applyNumberFormat="1" applyFont="1"/>
    <xf numFmtId="164" fontId="69" fillId="0" borderId="0" xfId="0" applyNumberFormat="1" applyFont="1"/>
    <xf numFmtId="0" fontId="0" fillId="0" borderId="11" xfId="0" applyFill="1" applyBorder="1"/>
    <xf numFmtId="0" fontId="13" fillId="11" borderId="29" xfId="0" applyFont="1" applyFill="1" applyBorder="1" applyAlignment="1">
      <alignment horizontal="center" vertical="center"/>
    </xf>
    <xf numFmtId="0" fontId="13" fillId="11" borderId="21" xfId="0" applyFont="1" applyFill="1" applyBorder="1" applyAlignment="1">
      <alignment horizontal="center"/>
    </xf>
    <xf numFmtId="0" fontId="14" fillId="0" borderId="29" xfId="0" applyFont="1" applyBorder="1" applyAlignment="1">
      <alignment horizontal="center" vertical="center"/>
    </xf>
    <xf numFmtId="0" fontId="14" fillId="0" borderId="8" xfId="0" quotePrefix="1" applyFont="1" applyBorder="1" applyAlignment="1">
      <alignment horizontal="center" vertical="center"/>
    </xf>
    <xf numFmtId="0" fontId="14" fillId="0" borderId="7" xfId="0" quotePrefix="1" applyFont="1" applyBorder="1" applyAlignment="1">
      <alignment horizontal="center" vertical="center"/>
    </xf>
    <xf numFmtId="0" fontId="14" fillId="0" borderId="17" xfId="0" quotePrefix="1" applyFont="1" applyBorder="1" applyAlignment="1">
      <alignment horizontal="center" vertical="center"/>
    </xf>
    <xf numFmtId="0" fontId="14" fillId="0" borderId="16" xfId="0" quotePrefix="1" applyFont="1" applyBorder="1" applyAlignment="1">
      <alignment horizontal="center" vertical="center"/>
    </xf>
    <xf numFmtId="2" fontId="13" fillId="0" borderId="24" xfId="0" applyNumberFormat="1" applyFont="1" applyBorder="1" applyAlignment="1">
      <alignment horizontal="center"/>
    </xf>
    <xf numFmtId="2" fontId="13" fillId="0" borderId="21" xfId="0" applyNumberFormat="1" applyFont="1" applyBorder="1" applyAlignment="1">
      <alignment horizontal="center"/>
    </xf>
    <xf numFmtId="0" fontId="14" fillId="0" borderId="35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2" fontId="13" fillId="11" borderId="29" xfId="0" applyNumberFormat="1" applyFont="1" applyFill="1" applyBorder="1" applyAlignment="1">
      <alignment horizontal="center"/>
    </xf>
    <xf numFmtId="2" fontId="13" fillId="11" borderId="30" xfId="0" applyNumberFormat="1" applyFont="1" applyFill="1" applyBorder="1" applyAlignment="1">
      <alignment horizontal="center"/>
    </xf>
    <xf numFmtId="2" fontId="13" fillId="11" borderId="21" xfId="0" applyNumberFormat="1" applyFont="1" applyFill="1" applyBorder="1" applyAlignment="1">
      <alignment horizontal="center"/>
    </xf>
    <xf numFmtId="2" fontId="13" fillId="11" borderId="22" xfId="0" applyNumberFormat="1" applyFont="1" applyFill="1" applyBorder="1" applyAlignment="1">
      <alignment horizontal="center"/>
    </xf>
    <xf numFmtId="2" fontId="15" fillId="0" borderId="0" xfId="0" applyNumberFormat="1" applyFont="1" applyBorder="1"/>
    <xf numFmtId="2" fontId="15" fillId="0" borderId="32" xfId="0" applyNumberFormat="1" applyFont="1" applyBorder="1"/>
    <xf numFmtId="0" fontId="2" fillId="2" borderId="1" xfId="2" applyBorder="1" applyAlignment="1">
      <alignment horizontal="center"/>
    </xf>
    <xf numFmtId="0" fontId="0" fillId="0" borderId="11" xfId="0" applyFill="1" applyBorder="1" applyAlignment="1"/>
    <xf numFmtId="2" fontId="2" fillId="2" borderId="127" xfId="2" applyNumberFormat="1" applyBorder="1" applyAlignment="1">
      <alignment horizontal="center"/>
    </xf>
    <xf numFmtId="2" fontId="2" fillId="2" borderId="125" xfId="2" applyNumberFormat="1" applyBorder="1" applyAlignment="1">
      <alignment horizontal="center"/>
    </xf>
    <xf numFmtId="0" fontId="2" fillId="2" borderId="147" xfId="2" applyBorder="1" applyAlignment="1">
      <alignment horizontal="center"/>
    </xf>
    <xf numFmtId="166" fontId="2" fillId="2" borderId="147" xfId="2" applyNumberFormat="1" applyBorder="1" applyAlignment="1">
      <alignment horizontal="center"/>
    </xf>
    <xf numFmtId="0" fontId="2" fillId="2" borderId="1" xfId="2" quotePrefix="1" applyBorder="1" applyAlignment="1">
      <alignment horizontal="center"/>
    </xf>
    <xf numFmtId="0" fontId="2" fillId="2" borderId="147" xfId="2" quotePrefix="1" applyBorder="1" applyAlignment="1">
      <alignment horizontal="center"/>
    </xf>
    <xf numFmtId="166" fontId="2" fillId="2" borderId="1" xfId="2" applyNumberFormat="1" applyBorder="1" applyAlignment="1">
      <alignment horizontal="center"/>
    </xf>
    <xf numFmtId="166" fontId="2" fillId="2" borderId="126" xfId="2" applyNumberFormat="1" applyBorder="1" applyAlignment="1">
      <alignment horizontal="center"/>
    </xf>
    <xf numFmtId="0" fontId="2" fillId="2" borderId="126" xfId="2" quotePrefix="1" applyBorder="1" applyAlignment="1">
      <alignment horizontal="center"/>
    </xf>
    <xf numFmtId="166" fontId="3" fillId="3" borderId="2" xfId="3" applyNumberFormat="1" applyBorder="1" applyAlignment="1">
      <alignment horizontal="center"/>
    </xf>
    <xf numFmtId="166" fontId="3" fillId="3" borderId="148" xfId="3" applyNumberFormat="1" applyBorder="1" applyAlignment="1">
      <alignment horizontal="center"/>
    </xf>
    <xf numFmtId="0" fontId="0" fillId="0" borderId="11" xfId="0" applyFont="1" applyFill="1" applyBorder="1"/>
    <xf numFmtId="0" fontId="0" fillId="0" borderId="15" xfId="0" applyFont="1" applyFill="1" applyBorder="1"/>
    <xf numFmtId="0" fontId="0" fillId="0" borderId="63" xfId="0" applyBorder="1"/>
    <xf numFmtId="0" fontId="21" fillId="0" borderId="20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4" fillId="0" borderId="0" xfId="0" applyFont="1" applyFill="1" applyBorder="1"/>
    <xf numFmtId="1" fontId="0" fillId="0" borderId="55" xfId="0" applyNumberFormat="1" applyFont="1" applyBorder="1"/>
    <xf numFmtId="165" fontId="15" fillId="19" borderId="0" xfId="1" applyNumberFormat="1" applyFont="1" applyFill="1" applyBorder="1"/>
    <xf numFmtId="164" fontId="6" fillId="0" borderId="0" xfId="0" applyNumberFormat="1" applyFont="1"/>
    <xf numFmtId="165" fontId="1" fillId="0" borderId="0" xfId="1" applyNumberFormat="1" applyFont="1" applyBorder="1"/>
    <xf numFmtId="164" fontId="0" fillId="0" borderId="0" xfId="0" applyNumberFormat="1" applyFont="1"/>
    <xf numFmtId="165" fontId="18" fillId="0" borderId="0" xfId="1" applyNumberFormat="1" applyFont="1" applyBorder="1"/>
    <xf numFmtId="0" fontId="13" fillId="0" borderId="29" xfId="0" applyFont="1" applyBorder="1" applyAlignment="1">
      <alignment horizontal="center" vertical="center"/>
    </xf>
    <xf numFmtId="0" fontId="9" fillId="0" borderId="77" xfId="0" applyFont="1" applyBorder="1"/>
    <xf numFmtId="0" fontId="11" fillId="7" borderId="47" xfId="0" applyFont="1" applyFill="1" applyBorder="1"/>
    <xf numFmtId="0" fontId="11" fillId="48" borderId="54" xfId="0" applyFont="1" applyFill="1" applyBorder="1"/>
    <xf numFmtId="0" fontId="9" fillId="46" borderId="47" xfId="0" applyFont="1" applyFill="1" applyBorder="1"/>
    <xf numFmtId="0" fontId="9" fillId="47" borderId="54" xfId="0" applyFont="1" applyFill="1" applyBorder="1"/>
    <xf numFmtId="0" fontId="12" fillId="8" borderId="20" xfId="0" applyFont="1" applyFill="1" applyBorder="1"/>
    <xf numFmtId="0" fontId="9" fillId="0" borderId="0" xfId="0" applyFont="1" applyAlignment="1">
      <alignment horizontal="left"/>
    </xf>
    <xf numFmtId="0" fontId="14" fillId="0" borderId="24" xfId="0" quotePrefix="1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1" xfId="0" quotePrefix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21" xfId="0" applyFont="1" applyBorder="1" applyAlignment="1">
      <alignment horizontal="center" vertical="center"/>
    </xf>
    <xf numFmtId="2" fontId="9" fillId="0" borderId="29" xfId="0" applyNumberFormat="1" applyFont="1" applyBorder="1" applyAlignment="1">
      <alignment horizontal="center" vertical="center"/>
    </xf>
    <xf numFmtId="166" fontId="13" fillId="0" borderId="29" xfId="0" quotePrefix="1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49" fontId="14" fillId="0" borderId="29" xfId="0" applyNumberFormat="1" applyFont="1" applyBorder="1" applyAlignment="1">
      <alignment horizontal="center" vertical="center"/>
    </xf>
    <xf numFmtId="49" fontId="14" fillId="0" borderId="30" xfId="0" applyNumberFormat="1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49" fontId="9" fillId="0" borderId="22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52" fillId="0" borderId="24" xfId="0" applyFont="1" applyBorder="1" applyAlignment="1">
      <alignment horizontal="center" vertical="center"/>
    </xf>
    <xf numFmtId="0" fontId="9" fillId="0" borderId="11" xfId="0" quotePrefix="1" applyFont="1" applyBorder="1" applyAlignment="1">
      <alignment horizontal="right"/>
    </xf>
    <xf numFmtId="0" fontId="49" fillId="0" borderId="11" xfId="0" applyFont="1" applyBorder="1" applyAlignment="1">
      <alignment horizontal="right"/>
    </xf>
    <xf numFmtId="0" fontId="8" fillId="0" borderId="32" xfId="0" applyFont="1" applyBorder="1"/>
    <xf numFmtId="0" fontId="8" fillId="0" borderId="33" xfId="0" applyFont="1" applyBorder="1"/>
    <xf numFmtId="166" fontId="14" fillId="0" borderId="24" xfId="0" applyNumberFormat="1" applyFont="1" applyBorder="1" applyAlignment="1">
      <alignment horizontal="center"/>
    </xf>
    <xf numFmtId="166" fontId="14" fillId="0" borderId="25" xfId="0" applyNumberFormat="1" applyFont="1" applyBorder="1" applyAlignment="1">
      <alignment horizontal="center"/>
    </xf>
    <xf numFmtId="166" fontId="14" fillId="0" borderId="29" xfId="0" quotePrefix="1" applyNumberFormat="1" applyFont="1" applyBorder="1" applyAlignment="1">
      <alignment horizontal="center"/>
    </xf>
    <xf numFmtId="166" fontId="14" fillId="0" borderId="30" xfId="0" quotePrefix="1" applyNumberFormat="1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6" fillId="55" borderId="62" xfId="0" applyFont="1" applyFill="1" applyBorder="1"/>
    <xf numFmtId="167" fontId="0" fillId="0" borderId="0" xfId="0" applyNumberFormat="1"/>
    <xf numFmtId="0" fontId="14" fillId="19" borderId="35" xfId="0" applyFont="1" applyFill="1" applyBorder="1" applyAlignment="1">
      <alignment horizontal="center" vertical="center"/>
    </xf>
    <xf numFmtId="0" fontId="9" fillId="19" borderId="35" xfId="0" applyFont="1" applyFill="1" applyBorder="1" applyAlignment="1">
      <alignment horizontal="center" vertical="center"/>
    </xf>
    <xf numFmtId="0" fontId="14" fillId="19" borderId="17" xfId="0" applyFont="1" applyFill="1" applyBorder="1" applyAlignment="1">
      <alignment horizontal="center" vertical="center"/>
    </xf>
    <xf numFmtId="0" fontId="9" fillId="19" borderId="17" xfId="0" applyFont="1" applyFill="1" applyBorder="1" applyAlignment="1">
      <alignment horizontal="center" vertical="center"/>
    </xf>
    <xf numFmtId="0" fontId="14" fillId="19" borderId="36" xfId="0" applyFont="1" applyFill="1" applyBorder="1" applyAlignment="1">
      <alignment horizontal="center"/>
    </xf>
    <xf numFmtId="0" fontId="14" fillId="19" borderId="37" xfId="0" applyFont="1" applyFill="1" applyBorder="1" applyAlignment="1">
      <alignment horizontal="center"/>
    </xf>
    <xf numFmtId="0" fontId="14" fillId="19" borderId="21" xfId="0" applyFont="1" applyFill="1" applyBorder="1" applyAlignment="1">
      <alignment horizontal="center" vertical="center"/>
    </xf>
    <xf numFmtId="0" fontId="14" fillId="19" borderId="22" xfId="0" applyFont="1" applyFill="1" applyBorder="1" applyAlignment="1">
      <alignment horizontal="center" vertical="center"/>
    </xf>
    <xf numFmtId="0" fontId="14" fillId="19" borderId="30" xfId="0" applyFont="1" applyFill="1" applyBorder="1" applyAlignment="1">
      <alignment horizontal="center" vertical="center"/>
    </xf>
    <xf numFmtId="0" fontId="9" fillId="19" borderId="30" xfId="0" applyFont="1" applyFill="1" applyBorder="1" applyAlignment="1">
      <alignment horizontal="center" vertical="center"/>
    </xf>
    <xf numFmtId="0" fontId="14" fillId="19" borderId="29" xfId="0" applyFont="1" applyFill="1" applyBorder="1" applyAlignment="1">
      <alignment horizontal="center" vertical="center"/>
    </xf>
    <xf numFmtId="0" fontId="9" fillId="19" borderId="12" xfId="0" applyFont="1" applyFill="1" applyBorder="1" applyAlignment="1">
      <alignment horizontal="center" vertical="center"/>
    </xf>
    <xf numFmtId="0" fontId="14" fillId="19" borderId="16" xfId="0" applyFont="1" applyFill="1" applyBorder="1" applyAlignment="1">
      <alignment horizontal="center" vertical="center"/>
    </xf>
    <xf numFmtId="0" fontId="70" fillId="19" borderId="0" xfId="0" applyFont="1" applyFill="1" applyBorder="1" applyAlignment="1">
      <alignment horizontal="center"/>
    </xf>
    <xf numFmtId="166" fontId="15" fillId="2" borderId="127" xfId="2" applyNumberFormat="1" applyFont="1" applyBorder="1" applyAlignment="1">
      <alignment horizontal="center"/>
    </xf>
    <xf numFmtId="0" fontId="70" fillId="19" borderId="18" xfId="0" applyFont="1" applyFill="1" applyBorder="1" applyAlignment="1">
      <alignment horizontal="center"/>
    </xf>
    <xf numFmtId="0" fontId="0" fillId="0" borderId="138" xfId="0" applyBorder="1"/>
    <xf numFmtId="0" fontId="0" fillId="0" borderId="121" xfId="0" applyBorder="1"/>
    <xf numFmtId="0" fontId="0" fillId="0" borderId="124" xfId="0" applyFont="1" applyFill="1" applyBorder="1" applyAlignment="1">
      <alignment horizontal="center"/>
    </xf>
    <xf numFmtId="0" fontId="0" fillId="0" borderId="98" xfId="0" applyFont="1" applyFill="1" applyBorder="1" applyAlignment="1">
      <alignment horizontal="center"/>
    </xf>
    <xf numFmtId="0" fontId="0" fillId="0" borderId="39" xfId="0" applyFont="1" applyFill="1" applyBorder="1" applyAlignment="1">
      <alignment horizontal="center"/>
    </xf>
    <xf numFmtId="0" fontId="0" fillId="0" borderId="40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166" fontId="6" fillId="0" borderId="124" xfId="0" applyNumberFormat="1" applyFont="1" applyFill="1" applyBorder="1" applyAlignment="1">
      <alignment horizontal="center"/>
    </xf>
    <xf numFmtId="166" fontId="6" fillId="0" borderId="98" xfId="0" applyNumberFormat="1" applyFont="1" applyFill="1" applyBorder="1" applyAlignment="1">
      <alignment horizontal="center"/>
    </xf>
    <xf numFmtId="166" fontId="6" fillId="0" borderId="39" xfId="0" applyNumberFormat="1" applyFont="1" applyFill="1" applyBorder="1" applyAlignment="1">
      <alignment horizontal="center"/>
    </xf>
    <xf numFmtId="166" fontId="6" fillId="0" borderId="40" xfId="0" applyNumberFormat="1" applyFont="1" applyFill="1" applyBorder="1" applyAlignment="1">
      <alignment horizontal="center"/>
    </xf>
    <xf numFmtId="166" fontId="0" fillId="0" borderId="0" xfId="0" applyNumberFormat="1" applyFill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0" fillId="0" borderId="0" xfId="0" applyFill="1" applyBorder="1" applyAlignment="1">
      <alignment horizontal="left"/>
    </xf>
    <xf numFmtId="0" fontId="33" fillId="43" borderId="0" xfId="0" applyFont="1" applyFill="1" applyBorder="1" applyAlignment="1">
      <alignment horizontal="left"/>
    </xf>
    <xf numFmtId="166" fontId="0" fillId="0" borderId="0" xfId="0" applyNumberFormat="1" applyBorder="1" applyAlignment="1">
      <alignment horizontal="right"/>
    </xf>
    <xf numFmtId="0" fontId="0" fillId="0" borderId="18" xfId="0" applyFill="1" applyBorder="1" applyAlignment="1">
      <alignment horizontal="right"/>
    </xf>
    <xf numFmtId="0" fontId="4" fillId="0" borderId="124" xfId="0" applyFont="1" applyFill="1" applyBorder="1" applyAlignment="1">
      <alignment horizontal="center"/>
    </xf>
    <xf numFmtId="0" fontId="4" fillId="0" borderId="98" xfId="0" applyFont="1" applyFill="1" applyBorder="1" applyAlignment="1">
      <alignment horizontal="center"/>
    </xf>
    <xf numFmtId="166" fontId="18" fillId="0" borderId="124" xfId="0" applyNumberFormat="1" applyFont="1" applyFill="1" applyBorder="1" applyAlignment="1">
      <alignment horizontal="center"/>
    </xf>
    <xf numFmtId="166" fontId="18" fillId="0" borderId="98" xfId="0" applyNumberFormat="1" applyFont="1" applyFill="1" applyBorder="1" applyAlignment="1">
      <alignment horizontal="center"/>
    </xf>
    <xf numFmtId="0" fontId="4" fillId="0" borderId="39" xfId="0" applyFont="1" applyFill="1" applyBorder="1" applyAlignment="1">
      <alignment horizontal="center"/>
    </xf>
    <xf numFmtId="0" fontId="4" fillId="0" borderId="40" xfId="0" applyFont="1" applyFill="1" applyBorder="1" applyAlignment="1">
      <alignment horizontal="center"/>
    </xf>
    <xf numFmtId="166" fontId="18" fillId="0" borderId="39" xfId="0" applyNumberFormat="1" applyFont="1" applyFill="1" applyBorder="1" applyAlignment="1">
      <alignment horizontal="center"/>
    </xf>
    <xf numFmtId="166" fontId="18" fillId="0" borderId="40" xfId="0" applyNumberFormat="1" applyFont="1" applyFill="1" applyBorder="1" applyAlignment="1">
      <alignment horizontal="center"/>
    </xf>
    <xf numFmtId="14" fontId="0" fillId="0" borderId="18" xfId="0" applyNumberFormat="1" applyBorder="1" applyAlignment="1">
      <alignment horizontal="left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165" fontId="53" fillId="0" borderId="0" xfId="1" applyNumberFormat="1" applyFont="1" applyBorder="1"/>
    <xf numFmtId="165" fontId="15" fillId="0" borderId="53" xfId="1" applyNumberFormat="1" applyFont="1" applyBorder="1"/>
    <xf numFmtId="1" fontId="0" fillId="0" borderId="0" xfId="0" applyNumberFormat="1" applyAlignment="1">
      <alignment horizontal="left"/>
    </xf>
    <xf numFmtId="0" fontId="2" fillId="2" borderId="1" xfId="2" applyBorder="1" applyAlignment="1">
      <alignment horizontal="center"/>
    </xf>
    <xf numFmtId="0" fontId="2" fillId="2" borderId="1" xfId="2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2" fillId="2" borderId="1" xfId="2" applyBorder="1" applyAlignment="1">
      <alignment horizontal="center"/>
    </xf>
    <xf numFmtId="0" fontId="2" fillId="2" borderId="1" xfId="2" applyBorder="1" applyAlignment="1">
      <alignment horizontal="center"/>
    </xf>
    <xf numFmtId="0" fontId="52" fillId="0" borderId="46" xfId="0" applyFont="1" applyBorder="1" applyAlignment="1">
      <alignment horizontal="center"/>
    </xf>
    <xf numFmtId="0" fontId="52" fillId="0" borderId="47" xfId="0" applyFont="1" applyBorder="1" applyAlignment="1">
      <alignment horizontal="center"/>
    </xf>
    <xf numFmtId="0" fontId="52" fillId="0" borderId="76" xfId="0" applyFont="1" applyBorder="1" applyAlignment="1">
      <alignment horizontal="center"/>
    </xf>
    <xf numFmtId="0" fontId="52" fillId="0" borderId="7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8" fillId="8" borderId="6" xfId="0" applyFont="1" applyFill="1" applyBorder="1" applyAlignment="1">
      <alignment horizontal="left" vertical="center"/>
    </xf>
    <xf numFmtId="0" fontId="8" fillId="8" borderId="15" xfId="0" applyFont="1" applyFill="1" applyBorder="1" applyAlignment="1">
      <alignment horizontal="left" vertical="center"/>
    </xf>
    <xf numFmtId="0" fontId="8" fillId="8" borderId="6" xfId="0" applyFont="1" applyFill="1" applyBorder="1" applyAlignment="1">
      <alignment horizontal="left" vertical="center" wrapText="1"/>
    </xf>
    <xf numFmtId="0" fontId="8" fillId="9" borderId="23" xfId="0" applyFont="1" applyFill="1" applyBorder="1" applyAlignment="1">
      <alignment horizontal="left" vertical="center"/>
    </xf>
    <xf numFmtId="0" fontId="8" fillId="9" borderId="26" xfId="0" applyFont="1" applyFill="1" applyBorder="1" applyAlignment="1">
      <alignment horizontal="left" vertical="center"/>
    </xf>
    <xf numFmtId="0" fontId="8" fillId="8" borderId="27" xfId="0" applyFont="1" applyFill="1" applyBorder="1" applyAlignment="1">
      <alignment horizontal="left" vertical="center"/>
    </xf>
    <xf numFmtId="0" fontId="8" fillId="8" borderId="28" xfId="0" applyFont="1" applyFill="1" applyBorder="1" applyAlignment="1">
      <alignment horizontal="left" vertical="center"/>
    </xf>
    <xf numFmtId="0" fontId="8" fillId="8" borderId="9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1" fillId="19" borderId="0" xfId="0" applyFont="1" applyFill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47" fillId="0" borderId="16" xfId="0" applyFont="1" applyBorder="1" applyAlignment="1">
      <alignment horizontal="center"/>
    </xf>
    <xf numFmtId="0" fontId="47" fillId="0" borderId="19" xfId="0" applyFont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15" fontId="47" fillId="0" borderId="12" xfId="0" applyNumberFormat="1" applyFont="1" applyBorder="1" applyAlignment="1">
      <alignment horizontal="center"/>
    </xf>
    <xf numFmtId="0" fontId="47" fillId="0" borderId="13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18" fillId="19" borderId="75" xfId="0" applyFont="1" applyFill="1" applyBorder="1" applyAlignment="1">
      <alignment horizontal="center"/>
    </xf>
    <xf numFmtId="0" fontId="18" fillId="19" borderId="76" xfId="0" applyFont="1" applyFill="1" applyBorder="1" applyAlignment="1">
      <alignment horizontal="center"/>
    </xf>
    <xf numFmtId="0" fontId="18" fillId="19" borderId="77" xfId="0" applyFont="1" applyFill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6" fillId="0" borderId="140" xfId="0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59" fillId="20" borderId="61" xfId="0" applyFont="1" applyFill="1" applyBorder="1" applyAlignment="1">
      <alignment horizontal="center" vertical="center" wrapText="1"/>
    </xf>
    <xf numFmtId="0" fontId="59" fillId="20" borderId="62" xfId="0" applyFont="1" applyFill="1" applyBorder="1" applyAlignment="1">
      <alignment horizontal="center" vertical="center" wrapText="1"/>
    </xf>
    <xf numFmtId="0" fontId="59" fillId="20" borderId="72" xfId="0" applyFont="1" applyFill="1" applyBorder="1" applyAlignment="1">
      <alignment horizontal="center" vertical="center" wrapText="1"/>
    </xf>
    <xf numFmtId="0" fontId="59" fillId="32" borderId="61" xfId="0" applyFont="1" applyFill="1" applyBorder="1" applyAlignment="1">
      <alignment horizontal="center" vertical="center" wrapText="1"/>
    </xf>
    <xf numFmtId="0" fontId="59" fillId="32" borderId="62" xfId="0" applyFont="1" applyFill="1" applyBorder="1" applyAlignment="1">
      <alignment horizontal="center" vertical="center" wrapText="1"/>
    </xf>
    <xf numFmtId="0" fontId="59" fillId="32" borderId="72" xfId="0" applyFont="1" applyFill="1" applyBorder="1" applyAlignment="1">
      <alignment horizontal="center" vertical="center" wrapText="1"/>
    </xf>
    <xf numFmtId="0" fontId="59" fillId="52" borderId="61" xfId="0" applyFont="1" applyFill="1" applyBorder="1" applyAlignment="1">
      <alignment horizontal="center" vertical="center" wrapText="1"/>
    </xf>
    <xf numFmtId="0" fontId="59" fillId="52" borderId="62" xfId="0" applyFont="1" applyFill="1" applyBorder="1" applyAlignment="1">
      <alignment horizontal="center" vertical="center" wrapText="1"/>
    </xf>
    <xf numFmtId="0" fontId="59" fillId="52" borderId="72" xfId="0" applyFont="1" applyFill="1" applyBorder="1" applyAlignment="1">
      <alignment horizontal="center" vertical="center" wrapText="1"/>
    </xf>
    <xf numFmtId="0" fontId="36" fillId="8" borderId="143" xfId="0" applyFont="1" applyFill="1" applyBorder="1" applyAlignment="1">
      <alignment horizontal="left" vertical="center" wrapText="1"/>
    </xf>
    <xf numFmtId="0" fontId="36" fillId="8" borderId="63" xfId="0" applyFont="1" applyFill="1" applyBorder="1" applyAlignment="1">
      <alignment horizontal="left" vertical="center" wrapText="1"/>
    </xf>
    <xf numFmtId="0" fontId="36" fillId="8" borderId="144" xfId="0" applyFont="1" applyFill="1" applyBorder="1" applyAlignment="1">
      <alignment horizontal="left" vertical="center" wrapText="1"/>
    </xf>
    <xf numFmtId="0" fontId="64" fillId="0" borderId="44" xfId="0" applyFont="1" applyBorder="1" applyAlignment="1">
      <alignment horizontal="left" vertical="top" wrapText="1"/>
    </xf>
    <xf numFmtId="0" fontId="64" fillId="0" borderId="46" xfId="0" applyFont="1" applyBorder="1" applyAlignment="1">
      <alignment horizontal="left" vertical="top" wrapText="1"/>
    </xf>
    <xf numFmtId="0" fontId="64" fillId="0" borderId="47" xfId="0" applyFont="1" applyBorder="1" applyAlignment="1">
      <alignment horizontal="left" vertical="top" wrapText="1"/>
    </xf>
    <xf numFmtId="0" fontId="64" fillId="0" borderId="55" xfId="0" applyFont="1" applyBorder="1" applyAlignment="1">
      <alignment horizontal="left" vertical="top" wrapText="1"/>
    </xf>
    <xf numFmtId="0" fontId="64" fillId="0" borderId="0" xfId="0" applyFont="1" applyAlignment="1">
      <alignment horizontal="left" vertical="top" wrapText="1"/>
    </xf>
    <xf numFmtId="0" fontId="64" fillId="0" borderId="51" xfId="0" applyFont="1" applyBorder="1" applyAlignment="1">
      <alignment horizontal="left" vertical="top" wrapText="1"/>
    </xf>
    <xf numFmtId="0" fontId="64" fillId="0" borderId="56" xfId="0" applyFont="1" applyBorder="1" applyAlignment="1">
      <alignment horizontal="left" vertical="top" wrapText="1"/>
    </xf>
    <xf numFmtId="0" fontId="64" fillId="0" borderId="53" xfId="0" applyFont="1" applyBorder="1" applyAlignment="1">
      <alignment horizontal="left" vertical="top" wrapText="1"/>
    </xf>
    <xf numFmtId="0" fontId="64" fillId="0" borderId="54" xfId="0" applyFont="1" applyBorder="1" applyAlignment="1">
      <alignment horizontal="left" vertical="top" wrapText="1"/>
    </xf>
    <xf numFmtId="0" fontId="59" fillId="51" borderId="61" xfId="0" applyFont="1" applyFill="1" applyBorder="1" applyAlignment="1">
      <alignment horizontal="center" wrapText="1"/>
    </xf>
    <xf numFmtId="0" fontId="59" fillId="51" borderId="62" xfId="0" applyFont="1" applyFill="1" applyBorder="1" applyAlignment="1">
      <alignment horizontal="center" wrapText="1"/>
    </xf>
    <xf numFmtId="0" fontId="59" fillId="51" borderId="72" xfId="0" applyFont="1" applyFill="1" applyBorder="1" applyAlignment="1">
      <alignment horizontal="center" wrapText="1"/>
    </xf>
    <xf numFmtId="0" fontId="65" fillId="8" borderId="44" xfId="0" applyFont="1" applyFill="1" applyBorder="1" applyAlignment="1">
      <alignment horizontal="center" vertical="center" wrapText="1"/>
    </xf>
    <xf numFmtId="0" fontId="65" fillId="8" borderId="46" xfId="0" applyFont="1" applyFill="1" applyBorder="1" applyAlignment="1">
      <alignment horizontal="center" vertical="center" wrapText="1"/>
    </xf>
    <xf numFmtId="0" fontId="65" fillId="8" borderId="47" xfId="0" applyFont="1" applyFill="1" applyBorder="1" applyAlignment="1">
      <alignment horizontal="center" vertical="center" wrapText="1"/>
    </xf>
    <xf numFmtId="0" fontId="59" fillId="0" borderId="143" xfId="0" applyFont="1" applyBorder="1" applyAlignment="1">
      <alignment horizontal="center" vertical="center" wrapText="1"/>
    </xf>
    <xf numFmtId="0" fontId="59" fillId="0" borderId="145" xfId="0" applyFont="1" applyBorder="1" applyAlignment="1">
      <alignment horizontal="center" vertical="center" wrapText="1"/>
    </xf>
    <xf numFmtId="0" fontId="60" fillId="50" borderId="63" xfId="0" applyFont="1" applyFill="1" applyBorder="1" applyAlignment="1">
      <alignment horizontal="center" vertical="center" wrapText="1"/>
    </xf>
    <xf numFmtId="0" fontId="60" fillId="50" borderId="121" xfId="0" applyFont="1" applyFill="1" applyBorder="1" applyAlignment="1">
      <alignment horizontal="center" vertical="center" wrapText="1"/>
    </xf>
    <xf numFmtId="0" fontId="59" fillId="0" borderId="138" xfId="0" applyFont="1" applyBorder="1" applyAlignment="1">
      <alignment horizontal="center" vertical="center" wrapText="1"/>
    </xf>
    <xf numFmtId="0" fontId="59" fillId="0" borderId="121" xfId="0" applyFont="1" applyBorder="1" applyAlignment="1">
      <alignment horizontal="center" vertical="center" wrapText="1"/>
    </xf>
    <xf numFmtId="14" fontId="59" fillId="0" borderId="144" xfId="0" applyNumberFormat="1" applyFont="1" applyBorder="1" applyAlignment="1">
      <alignment horizontal="center" vertical="center" wrapText="1"/>
    </xf>
    <xf numFmtId="0" fontId="59" fillId="0" borderId="146" xfId="0" applyFont="1" applyBorder="1" applyAlignment="1">
      <alignment horizontal="center" vertical="center" wrapText="1"/>
    </xf>
    <xf numFmtId="0" fontId="25" fillId="19" borderId="0" xfId="0" applyFont="1" applyFill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11" fillId="20" borderId="44" xfId="0" applyFont="1" applyFill="1" applyBorder="1" applyAlignment="1">
      <alignment horizontal="center" vertical="center"/>
    </xf>
    <xf numFmtId="0" fontId="11" fillId="20" borderId="47" xfId="0" applyFont="1" applyFill="1" applyBorder="1" applyAlignment="1">
      <alignment horizontal="center" vertical="center"/>
    </xf>
    <xf numFmtId="0" fontId="11" fillId="20" borderId="56" xfId="0" applyFont="1" applyFill="1" applyBorder="1" applyAlignment="1">
      <alignment horizontal="center" vertical="center"/>
    </xf>
    <xf numFmtId="0" fontId="11" fillId="20" borderId="54" xfId="0" applyFont="1" applyFill="1" applyBorder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11" fillId="20" borderId="55" xfId="0" applyFont="1" applyFill="1" applyBorder="1" applyAlignment="1">
      <alignment horizontal="center" vertical="center"/>
    </xf>
    <xf numFmtId="0" fontId="11" fillId="20" borderId="51" xfId="0" applyFont="1" applyFill="1" applyBorder="1" applyAlignment="1">
      <alignment horizontal="center" vertical="center"/>
    </xf>
    <xf numFmtId="0" fontId="38" fillId="26" borderId="0" xfId="0" applyFont="1" applyFill="1" applyAlignment="1">
      <alignment horizontal="center" vertical="center" textRotation="90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3" xfId="0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0" fillId="19" borderId="113" xfId="0" applyFill="1" applyBorder="1" applyAlignment="1">
      <alignment horizontal="center"/>
    </xf>
    <xf numFmtId="166" fontId="0" fillId="19" borderId="4" xfId="0" applyNumberFormat="1" applyFill="1" applyBorder="1" applyAlignment="1">
      <alignment horizontal="center"/>
    </xf>
    <xf numFmtId="166" fontId="0" fillId="19" borderId="113" xfId="0" applyNumberFormat="1" applyFill="1" applyBorder="1" applyAlignment="1">
      <alignment horizontal="center"/>
    </xf>
    <xf numFmtId="166" fontId="0" fillId="0" borderId="3" xfId="0" applyNumberFormat="1" applyFill="1" applyBorder="1" applyAlignment="1">
      <alignment horizontal="center"/>
    </xf>
    <xf numFmtId="166" fontId="0" fillId="0" borderId="4" xfId="0" applyNumberFormat="1" applyFill="1" applyBorder="1" applyAlignment="1">
      <alignment horizontal="center"/>
    </xf>
    <xf numFmtId="166" fontId="0" fillId="0" borderId="5" xfId="0" applyNumberFormat="1" applyFill="1" applyBorder="1" applyAlignment="1">
      <alignment horizontal="center"/>
    </xf>
    <xf numFmtId="0" fontId="37" fillId="7" borderId="0" xfId="0" applyFont="1" applyFill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13" xfId="0" applyFill="1" applyBorder="1" applyAlignment="1">
      <alignment horizontal="center"/>
    </xf>
    <xf numFmtId="166" fontId="0" fillId="19" borderId="3" xfId="0" applyNumberFormat="1" applyFill="1" applyBorder="1" applyAlignment="1">
      <alignment horizontal="center"/>
    </xf>
    <xf numFmtId="0" fontId="0" fillId="19" borderId="57" xfId="0" applyFill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0" fillId="19" borderId="59" xfId="0" applyFill="1" applyBorder="1" applyAlignment="1">
      <alignment horizontal="center"/>
    </xf>
    <xf numFmtId="166" fontId="0" fillId="0" borderId="113" xfId="0" applyNumberFormat="1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115" xfId="0" applyBorder="1" applyAlignment="1">
      <alignment horizontal="center"/>
    </xf>
    <xf numFmtId="0" fontId="0" fillId="0" borderId="59" xfId="0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20" borderId="0" xfId="0" applyFont="1" applyFill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20" borderId="44" xfId="0" applyFont="1" applyFill="1" applyBorder="1" applyAlignment="1">
      <alignment horizontal="center"/>
    </xf>
    <xf numFmtId="0" fontId="6" fillId="20" borderId="46" xfId="0" applyFont="1" applyFill="1" applyBorder="1" applyAlignment="1">
      <alignment horizontal="center"/>
    </xf>
    <xf numFmtId="0" fontId="6" fillId="20" borderId="47" xfId="0" applyFont="1" applyFill="1" applyBorder="1" applyAlignment="1">
      <alignment horizontal="center"/>
    </xf>
    <xf numFmtId="0" fontId="6" fillId="32" borderId="75" xfId="0" applyFont="1" applyFill="1" applyBorder="1" applyAlignment="1">
      <alignment horizontal="center"/>
    </xf>
    <xf numFmtId="0" fontId="6" fillId="32" borderId="76" xfId="0" applyFont="1" applyFill="1" applyBorder="1" applyAlignment="1">
      <alignment horizontal="center"/>
    </xf>
    <xf numFmtId="0" fontId="6" fillId="32" borderId="77" xfId="0" applyFont="1" applyFill="1" applyBorder="1" applyAlignment="1">
      <alignment horizontal="center"/>
    </xf>
    <xf numFmtId="0" fontId="2" fillId="2" borderId="1" xfId="2" applyBorder="1" applyAlignment="1">
      <alignment horizontal="center"/>
    </xf>
    <xf numFmtId="1" fontId="0" fillId="19" borderId="79" xfId="0" applyNumberFormat="1" applyFill="1" applyBorder="1" applyAlignment="1">
      <alignment horizontal="center"/>
    </xf>
    <xf numFmtId="0" fontId="6" fillId="20" borderId="75" xfId="0" applyFont="1" applyFill="1" applyBorder="1" applyAlignment="1">
      <alignment horizontal="center"/>
    </xf>
    <xf numFmtId="0" fontId="6" fillId="20" borderId="76" xfId="0" applyFont="1" applyFill="1" applyBorder="1" applyAlignment="1">
      <alignment horizontal="center"/>
    </xf>
    <xf numFmtId="0" fontId="6" fillId="20" borderId="77" xfId="0" applyFont="1" applyFill="1" applyBorder="1" applyAlignment="1">
      <alignment horizontal="center"/>
    </xf>
    <xf numFmtId="164" fontId="0" fillId="0" borderId="78" xfId="0" applyNumberFormat="1" applyBorder="1" applyAlignment="1">
      <alignment horizontal="center"/>
    </xf>
    <xf numFmtId="0" fontId="6" fillId="30" borderId="44" xfId="0" applyFont="1" applyFill="1" applyBorder="1" applyAlignment="1">
      <alignment horizontal="center"/>
    </xf>
    <xf numFmtId="0" fontId="6" fillId="30" borderId="46" xfId="0" applyFont="1" applyFill="1" applyBorder="1" applyAlignment="1">
      <alignment horizontal="center"/>
    </xf>
    <xf numFmtId="0" fontId="6" fillId="30" borderId="47" xfId="0" applyFont="1" applyFill="1" applyBorder="1" applyAlignment="1">
      <alignment horizontal="center"/>
    </xf>
    <xf numFmtId="0" fontId="6" fillId="31" borderId="6" xfId="0" applyFont="1" applyFill="1" applyBorder="1" applyAlignment="1">
      <alignment horizontal="center" vertical="center"/>
    </xf>
    <xf numFmtId="0" fontId="6" fillId="31" borderId="20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3" borderId="20" xfId="0" applyFont="1" applyFill="1" applyBorder="1" applyAlignment="1">
      <alignment horizontal="center" vertical="center"/>
    </xf>
    <xf numFmtId="0" fontId="16" fillId="35" borderId="75" xfId="0" applyFont="1" applyFill="1" applyBorder="1" applyAlignment="1">
      <alignment horizontal="center" vertical="center"/>
    </xf>
    <xf numFmtId="0" fontId="16" fillId="35" borderId="76" xfId="0" applyFont="1" applyFill="1" applyBorder="1" applyAlignment="1">
      <alignment horizontal="center" vertical="center"/>
    </xf>
    <xf numFmtId="0" fontId="16" fillId="35" borderId="97" xfId="0" applyFont="1" applyFill="1" applyBorder="1" applyAlignment="1">
      <alignment horizontal="center" vertical="center"/>
    </xf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76" xfId="0" applyFont="1" applyBorder="1" applyAlignment="1">
      <alignment horizontal="center"/>
    </xf>
    <xf numFmtId="0" fontId="9" fillId="0" borderId="77" xfId="0" applyFont="1" applyBorder="1" applyAlignment="1">
      <alignment horizontal="center"/>
    </xf>
  </cellXfs>
  <cellStyles count="11">
    <cellStyle name="20% - Accent1" xfId="5" builtinId="30"/>
    <cellStyle name="20% - Accent3" xfId="6" builtinId="38"/>
    <cellStyle name="20% - Accent4" xfId="7" builtinId="42"/>
    <cellStyle name="40% - Accent3" xfId="8" builtinId="39"/>
    <cellStyle name="60% - Accent3" xfId="9" builtinId="40"/>
    <cellStyle name="Explanatory Text" xfId="4" builtinId="53"/>
    <cellStyle name="Input" xfId="2" builtinId="20"/>
    <cellStyle name="Normal" xfId="0" builtinId="0"/>
    <cellStyle name="Output" xfId="3" builtinId="21"/>
    <cellStyle name="Percent" xfId="1" builtinId="5"/>
    <cellStyle name="Total" xfId="10" builtinId="25"/>
  </cellStyles>
  <dxfs count="0"/>
  <tableStyles count="0" defaultTableStyle="TableStyleMedium2" defaultPivotStyle="PivotStyleLight16"/>
  <colors>
    <mruColors>
      <color rgb="FFFF00FF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Front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[1]Summary!$C$15:$J$15</c:f>
              <c:numCache>
                <c:formatCode>General</c:formatCode>
                <c:ptCount val="8"/>
                <c:pt idx="0">
                  <c:v>1.8101191211465175</c:v>
                </c:pt>
                <c:pt idx="1">
                  <c:v>1.9444399955914125</c:v>
                </c:pt>
                <c:pt idx="2">
                  <c:v>2.0847558522588905</c:v>
                </c:pt>
                <c:pt idx="3">
                  <c:v>2.2219646137145581</c:v>
                </c:pt>
                <c:pt idx="4">
                  <c:v>2.350354884143639</c:v>
                </c:pt>
                <c:pt idx="5">
                  <c:v>2.4656376705182343</c:v>
                </c:pt>
                <c:pt idx="6">
                  <c:v>2.5600189727010458</c:v>
                </c:pt>
                <c:pt idx="7">
                  <c:v>2.6190354151983417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FB-4695-BCF7-09B2A6647554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[1]Summary!$C$16:$J$16</c:f>
              <c:numCache>
                <c:formatCode>General</c:formatCode>
                <c:ptCount val="8"/>
                <c:pt idx="0">
                  <c:v>1.5501944838151862</c:v>
                </c:pt>
                <c:pt idx="1">
                  <c:v>1.6787490303087256</c:v>
                </c:pt>
                <c:pt idx="2">
                  <c:v>1.8164214237073641</c:v>
                </c:pt>
                <c:pt idx="3">
                  <c:v>1.9523195633477728</c:v>
                </c:pt>
                <c:pt idx="4">
                  <c:v>2.0824064855867017</c:v>
                </c:pt>
                <c:pt idx="5">
                  <c:v>2.2062051651705037</c:v>
                </c:pt>
                <c:pt idx="6">
                  <c:v>2.318996783821786</c:v>
                </c:pt>
                <c:pt idx="7">
                  <c:v>2.4063701372309261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FB-4695-BCF7-09B2A6647554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[1]Summary!$C$17:$J$17</c:f>
              <c:numCache>
                <c:formatCode>General</c:formatCode>
                <c:ptCount val="8"/>
                <c:pt idx="0">
                  <c:v>1.282181801475911</c:v>
                </c:pt>
                <c:pt idx="1">
                  <c:v>1.4128829244575742</c:v>
                </c:pt>
                <c:pt idx="2">
                  <c:v>1.554411542932099</c:v>
                </c:pt>
                <c:pt idx="3">
                  <c:v>1.6898910611837619</c:v>
                </c:pt>
                <c:pt idx="4">
                  <c:v>1.8132125609011527</c:v>
                </c:pt>
                <c:pt idx="5">
                  <c:v>1.9262021557402935</c:v>
                </c:pt>
                <c:pt idx="6">
                  <c:v>2.0292718701150356</c:v>
                </c:pt>
                <c:pt idx="7">
                  <c:v>2.1136784868145337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FB-4695-BCF7-09B2A6647554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[1]Summary!$C$18:$J$18</c:f>
              <c:numCache>
                <c:formatCode>General</c:formatCode>
                <c:ptCount val="8"/>
                <c:pt idx="0">
                  <c:v>1.0164606024220129</c:v>
                </c:pt>
                <c:pt idx="1">
                  <c:v>1.1448902664768379</c:v>
                </c:pt>
                <c:pt idx="2">
                  <c:v>1.2915402433056677</c:v>
                </c:pt>
                <c:pt idx="3">
                  <c:v>1.4332972160561814</c:v>
                </c:pt>
                <c:pt idx="4">
                  <c:v>1.5586282550661188</c:v>
                </c:pt>
                <c:pt idx="5">
                  <c:v>1.6666923694790325</c:v>
                </c:pt>
                <c:pt idx="6">
                  <c:v>1.75904215655811</c:v>
                </c:pt>
                <c:pt idx="7">
                  <c:v>1.8317439123739139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FB-4695-BCF7-09B2A6647554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[1]Summary!$C$19:$J$19</c:f>
              <c:numCache>
                <c:formatCode>General</c:formatCode>
                <c:ptCount val="8"/>
                <c:pt idx="0">
                  <c:v>0.77380995083502335</c:v>
                </c:pt>
                <c:pt idx="1">
                  <c:v>0.87479506139653229</c:v>
                </c:pt>
                <c:pt idx="2">
                  <c:v>1.0070247459832156</c:v>
                </c:pt>
                <c:pt idx="3">
                  <c:v>1.1467690063985529</c:v>
                </c:pt>
                <c:pt idx="4">
                  <c:v>1.2783337820096092</c:v>
                </c:pt>
                <c:pt idx="5">
                  <c:v>1.3949608595397365</c:v>
                </c:pt>
                <c:pt idx="6">
                  <c:v>1.493548558760051</c:v>
                </c:pt>
                <c:pt idx="7">
                  <c:v>1.5693854789622712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FB-4695-BCF7-09B2A6647554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[1]Summary!$C$20:$J$20</c:f>
              <c:numCache>
                <c:formatCode>General</c:formatCode>
                <c:ptCount val="8"/>
                <c:pt idx="0">
                  <c:v>0.61395153873656616</c:v>
                </c:pt>
                <c:pt idx="1">
                  <c:v>0.65871567774786666</c:v>
                </c:pt>
                <c:pt idx="2">
                  <c:v>0.7456526106044612</c:v>
                </c:pt>
                <c:pt idx="3">
                  <c:v>0.85818825430721057</c:v>
                </c:pt>
                <c:pt idx="4">
                  <c:v>0.98195113225817687</c:v>
                </c:pt>
                <c:pt idx="5">
                  <c:v>1.1059229447662657</c:v>
                </c:pt>
                <c:pt idx="6">
                  <c:v>1.2202830695887987</c:v>
                </c:pt>
                <c:pt idx="7">
                  <c:v>1.3150460653106293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FB-4695-BCF7-09B2A6647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[1]Summary!$C$24:$J$24</c:f>
              <c:numCache>
                <c:formatCode>General</c:formatCode>
                <c:ptCount val="8"/>
                <c:pt idx="0">
                  <c:v>2.0417592779785094</c:v>
                </c:pt>
                <c:pt idx="1">
                  <c:v>2.0857549724793012</c:v>
                </c:pt>
                <c:pt idx="2">
                  <c:v>2.1379307136910395</c:v>
                </c:pt>
                <c:pt idx="3">
                  <c:v>2.190573189620137</c:v>
                </c:pt>
                <c:pt idx="4">
                  <c:v>2.2284247975217468</c:v>
                </c:pt>
                <c:pt idx="5">
                  <c:v>2.2343438769564483</c:v>
                </c:pt>
                <c:pt idx="6">
                  <c:v>2.1979288836943125</c:v>
                </c:pt>
                <c:pt idx="7">
                  <c:v>2.1219550388390358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0A-4599-AA32-CF380AECA111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[1]Summary!$C$25:$J$25</c:f>
              <c:numCache>
                <c:formatCode>General</c:formatCode>
                <c:ptCount val="8"/>
                <c:pt idx="0">
                  <c:v>2.0672036465150865</c:v>
                </c:pt>
                <c:pt idx="1">
                  <c:v>2.1118840219713841</c:v>
                </c:pt>
                <c:pt idx="2">
                  <c:v>2.1651594134251058</c:v>
                </c:pt>
                <c:pt idx="3">
                  <c:v>2.2198932884917708</c:v>
                </c:pt>
                <c:pt idx="4">
                  <c:v>2.2589520334864717</c:v>
                </c:pt>
                <c:pt idx="5">
                  <c:v>2.2613359373931745</c:v>
                </c:pt>
                <c:pt idx="6">
                  <c:v>2.2132846485488145</c:v>
                </c:pt>
                <c:pt idx="7">
                  <c:v>2.1175382039980066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0A-4599-AA32-CF380AECA111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[1]Summary!$C$26:$J$26</c:f>
              <c:numCache>
                <c:formatCode>General</c:formatCode>
                <c:ptCount val="8"/>
                <c:pt idx="0">
                  <c:v>2.1280185021088189</c:v>
                </c:pt>
                <c:pt idx="1">
                  <c:v>2.1723567949358089</c:v>
                </c:pt>
                <c:pt idx="2">
                  <c:v>2.2239376645572526</c:v>
                </c:pt>
                <c:pt idx="3">
                  <c:v>2.2770241054216855</c:v>
                </c:pt>
                <c:pt idx="4">
                  <c:v>2.3129535360120288</c:v>
                </c:pt>
                <c:pt idx="5">
                  <c:v>2.3066501901409371</c:v>
                </c:pt>
                <c:pt idx="6">
                  <c:v>2.2406650732461313</c:v>
                </c:pt>
                <c:pt idx="7">
                  <c:v>2.1178714693982963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0A-4599-AA32-CF380AECA111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[1]Summary!$C$27:$J$27</c:f>
              <c:numCache>
                <c:formatCode>General</c:formatCode>
                <c:ptCount val="8"/>
                <c:pt idx="0">
                  <c:v>2.1885816155920237</c:v>
                </c:pt>
                <c:pt idx="1">
                  <c:v>2.226642500968099</c:v>
                </c:pt>
                <c:pt idx="2">
                  <c:v>2.2704856641180302</c:v>
                </c:pt>
                <c:pt idx="3">
                  <c:v>2.3167534136612908</c:v>
                </c:pt>
                <c:pt idx="4">
                  <c:v>2.3462404956133618</c:v>
                </c:pt>
                <c:pt idx="5">
                  <c:v>2.3306131643215564</c:v>
                </c:pt>
                <c:pt idx="6">
                  <c:v>2.2490735928919778</c:v>
                </c:pt>
                <c:pt idx="7">
                  <c:v>2.1041970251170681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70A-4599-AA32-CF380AECA111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[1]Summary!$C$28:$J$28</c:f>
              <c:numCache>
                <c:formatCode>General</c:formatCode>
                <c:ptCount val="8"/>
                <c:pt idx="0">
                  <c:v>2.2090093913710649</c:v>
                </c:pt>
                <c:pt idx="1">
                  <c:v>2.237689457761423</c:v>
                </c:pt>
                <c:pt idx="2">
                  <c:v>2.272316129004107</c:v>
                </c:pt>
                <c:pt idx="3">
                  <c:v>2.3117664655364769</c:v>
                </c:pt>
                <c:pt idx="4">
                  <c:v>2.3372180023685512</c:v>
                </c:pt>
                <c:pt idx="5">
                  <c:v>2.3188600837799744</c:v>
                </c:pt>
                <c:pt idx="6">
                  <c:v>2.2338448397713941</c:v>
                </c:pt>
                <c:pt idx="7">
                  <c:v>2.0837448740719129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0A-4599-AA32-CF380AECA111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[1]Summary!$C$29:$J$29</c:f>
              <c:numCache>
                <c:formatCode>General</c:formatCode>
                <c:ptCount val="8"/>
                <c:pt idx="0">
                  <c:v>2.1786168084660016</c:v>
                </c:pt>
                <c:pt idx="1">
                  <c:v>2.2029836258081246</c:v>
                </c:pt>
                <c:pt idx="2">
                  <c:v>2.2351093567829072</c:v>
                </c:pt>
                <c:pt idx="3">
                  <c:v>2.2744157456184242</c:v>
                </c:pt>
                <c:pt idx="4">
                  <c:v>2.3028719706755982</c:v>
                </c:pt>
                <c:pt idx="5">
                  <c:v>2.2914849694509476</c:v>
                </c:pt>
                <c:pt idx="6">
                  <c:v>2.2175429472752484</c:v>
                </c:pt>
                <c:pt idx="7">
                  <c:v>2.0813781661507118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70A-4599-AA32-CF380AECA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Cx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[1]Summary!$C$6:$J$6</c:f>
              <c:numCache>
                <c:formatCode>General</c:formatCode>
                <c:ptCount val="8"/>
                <c:pt idx="0">
                  <c:v>1.0301230593314969</c:v>
                </c:pt>
                <c:pt idx="1">
                  <c:v>1.048665219221969</c:v>
                </c:pt>
                <c:pt idx="2">
                  <c:v>1.0722025125104937</c:v>
                </c:pt>
                <c:pt idx="3">
                  <c:v>1.0975615636993075</c:v>
                </c:pt>
                <c:pt idx="4">
                  <c:v>1.1218513651959361</c:v>
                </c:pt>
                <c:pt idx="5">
                  <c:v>1.1432153953782405</c:v>
                </c:pt>
                <c:pt idx="6">
                  <c:v>1.1606065502975755</c:v>
                </c:pt>
                <c:pt idx="7">
                  <c:v>1.1729866078405919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72-4777-8547-BC00686B5F9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[1]Summary!$C$7:$J$7</c:f>
              <c:numCache>
                <c:formatCode>General</c:formatCode>
                <c:ptCount val="8"/>
                <c:pt idx="0">
                  <c:v>1.032144373940624</c:v>
                </c:pt>
                <c:pt idx="1">
                  <c:v>1.052899179773928</c:v>
                </c:pt>
                <c:pt idx="2">
                  <c:v>1.076094370852037</c:v>
                </c:pt>
                <c:pt idx="3">
                  <c:v>1.098797540667644</c:v>
                </c:pt>
                <c:pt idx="4">
                  <c:v>1.1194877727390988</c:v>
                </c:pt>
                <c:pt idx="5">
                  <c:v>1.138105277525526</c:v>
                </c:pt>
                <c:pt idx="6">
                  <c:v>1.1548957651409908</c:v>
                </c:pt>
                <c:pt idx="7">
                  <c:v>1.1690172498887108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72-4777-8547-BC00686B5F9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[1]Summary!$C$8:$J$8</c:f>
              <c:numCache>
                <c:formatCode>General</c:formatCode>
                <c:ptCount val="8"/>
                <c:pt idx="0">
                  <c:v>1.0359479117418096</c:v>
                </c:pt>
                <c:pt idx="1">
                  <c:v>1.0591508706096102</c:v>
                </c:pt>
                <c:pt idx="2">
                  <c:v>1.0827199710338462</c:v>
                </c:pt>
                <c:pt idx="3">
                  <c:v>1.1038456261143155</c:v>
                </c:pt>
                <c:pt idx="4">
                  <c:v>1.1218964909964826</c:v>
                </c:pt>
                <c:pt idx="5">
                  <c:v>1.1379356300557044</c:v>
                </c:pt>
                <c:pt idx="6">
                  <c:v>1.1529917704788533</c:v>
                </c:pt>
                <c:pt idx="7">
                  <c:v>1.1664074279313505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72-4777-8547-BC00686B5F9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[1]Summary!$C$9:$J$9</c:f>
              <c:numCache>
                <c:formatCode>General</c:formatCode>
                <c:ptCount val="8"/>
                <c:pt idx="0">
                  <c:v>1.0376206995929691</c:v>
                </c:pt>
                <c:pt idx="1">
                  <c:v>1.0618649397730591</c:v>
                </c:pt>
                <c:pt idx="2">
                  <c:v>1.0858893890362782</c:v>
                </c:pt>
                <c:pt idx="3">
                  <c:v>1.1069769079138576</c:v>
                </c:pt>
                <c:pt idx="4">
                  <c:v>1.1246445325695331</c:v>
                </c:pt>
                <c:pt idx="5">
                  <c:v>1.1399723798668342</c:v>
                </c:pt>
                <c:pt idx="6">
                  <c:v>1.1538670045797366</c:v>
                </c:pt>
                <c:pt idx="7">
                  <c:v>1.1655957661480603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72-4777-8547-BC00686B5F9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[1]Summary!$C$10:$J$10</c:f>
              <c:numCache>
                <c:formatCode>General</c:formatCode>
                <c:ptCount val="8"/>
                <c:pt idx="0">
                  <c:v>1.0364775988713626</c:v>
                </c:pt>
                <c:pt idx="1">
                  <c:v>1.0589379123658222</c:v>
                </c:pt>
                <c:pt idx="2">
                  <c:v>1.081937575653479</c:v>
                </c:pt>
                <c:pt idx="3">
                  <c:v>1.1030719132319349</c:v>
                </c:pt>
                <c:pt idx="4">
                  <c:v>1.1215969389564664</c:v>
                </c:pt>
                <c:pt idx="5">
                  <c:v>1.1378397060198651</c:v>
                </c:pt>
                <c:pt idx="6">
                  <c:v>1.1518767500941334</c:v>
                </c:pt>
                <c:pt idx="7">
                  <c:v>1.1625658789128033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772-4777-8547-BC00686B5F9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[1]Summary!$C$11:$J$11</c:f>
              <c:numCache>
                <c:formatCode>General</c:formatCode>
                <c:ptCount val="8"/>
                <c:pt idx="0">
                  <c:v>1.0357246917871077</c:v>
                </c:pt>
                <c:pt idx="1">
                  <c:v>1.0539143912732976</c:v>
                </c:pt>
                <c:pt idx="2">
                  <c:v>1.0737782402066403</c:v>
                </c:pt>
                <c:pt idx="3">
                  <c:v>1.0935207472943587</c:v>
                </c:pt>
                <c:pt idx="4">
                  <c:v>1.1121949482191809</c:v>
                </c:pt>
                <c:pt idx="5">
                  <c:v>1.1292756821444119</c:v>
                </c:pt>
                <c:pt idx="6">
                  <c:v>1.1438681111935303</c:v>
                </c:pt>
                <c:pt idx="7">
                  <c:v>1.1542953268031488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772-4777-8547-BC00686B5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AB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[1]Summary!$C$42:$J$42</c:f>
              <c:numCache>
                <c:formatCode>General</c:formatCode>
                <c:ptCount val="8"/>
                <c:pt idx="0">
                  <c:v>0.46993153303014312</c:v>
                </c:pt>
                <c:pt idx="1">
                  <c:v>0.48246797264059699</c:v>
                </c:pt>
                <c:pt idx="2">
                  <c:v>0.49370366938184213</c:v>
                </c:pt>
                <c:pt idx="3">
                  <c:v>0.50355707140579031</c:v>
                </c:pt>
                <c:pt idx="4">
                  <c:v>0.51331469246163242</c:v>
                </c:pt>
                <c:pt idx="5">
                  <c:v>0.52460581932348871</c:v>
                </c:pt>
                <c:pt idx="6">
                  <c:v>0.53805107789485684</c:v>
                </c:pt>
                <c:pt idx="7">
                  <c:v>0.55242368458430424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9C-45B2-B2EB-DC54D910D13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[1]Summary!$C$43:$J$43</c:f>
              <c:numCache>
                <c:formatCode>General</c:formatCode>
                <c:ptCount val="8"/>
                <c:pt idx="0">
                  <c:v>0.42853853182968604</c:v>
                </c:pt>
                <c:pt idx="1">
                  <c:v>0.44286772345293052</c:v>
                </c:pt>
                <c:pt idx="2">
                  <c:v>0.4562060894927224</c:v>
                </c:pt>
                <c:pt idx="3">
                  <c:v>0.46793383575504494</c:v>
                </c:pt>
                <c:pt idx="4">
                  <c:v>0.47966701585181909</c:v>
                </c:pt>
                <c:pt idx="5">
                  <c:v>0.49382985282541281</c:v>
                </c:pt>
                <c:pt idx="6">
                  <c:v>0.51166213273054384</c:v>
                </c:pt>
                <c:pt idx="7">
                  <c:v>0.53192283214500957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9C-45B2-B2EB-DC54D910D13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[1]Summary!$C$44:$J$44</c:f>
              <c:numCache>
                <c:formatCode>General</c:formatCode>
                <c:ptCount val="8"/>
                <c:pt idx="0">
                  <c:v>0.37598430805607191</c:v>
                </c:pt>
                <c:pt idx="1">
                  <c:v>0.39408325106267422</c:v>
                </c:pt>
                <c:pt idx="2">
                  <c:v>0.41139965036873311</c:v>
                </c:pt>
                <c:pt idx="3">
                  <c:v>0.42599626919418815</c:v>
                </c:pt>
                <c:pt idx="4">
                  <c:v>0.43944245537222359</c:v>
                </c:pt>
                <c:pt idx="5">
                  <c:v>0.45506008675558479</c:v>
                </c:pt>
                <c:pt idx="6">
                  <c:v>0.47524633197923843</c:v>
                </c:pt>
                <c:pt idx="7">
                  <c:v>0.4995045571212498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9C-45B2-B2EB-DC54D910D13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[1]Summary!$C$45:$J$45</c:f>
              <c:numCache>
                <c:formatCode>General</c:formatCode>
                <c:ptCount val="8"/>
                <c:pt idx="0">
                  <c:v>0.3171442162942395</c:v>
                </c:pt>
                <c:pt idx="1">
                  <c:v>0.33957560120184593</c:v>
                </c:pt>
                <c:pt idx="2">
                  <c:v>0.36258586458170888</c:v>
                </c:pt>
                <c:pt idx="3">
                  <c:v>0.38220743066718693</c:v>
                </c:pt>
                <c:pt idx="4">
                  <c:v>0.39914997265782726</c:v>
                </c:pt>
                <c:pt idx="5">
                  <c:v>0.41695395945737523</c:v>
                </c:pt>
                <c:pt idx="6">
                  <c:v>0.43887009919797104</c:v>
                </c:pt>
                <c:pt idx="7">
                  <c:v>0.46538907505598481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9C-45B2-B2EB-DC54D910D13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[1]Summary!$C$46:$J$46</c:f>
              <c:numCache>
                <c:formatCode>General</c:formatCode>
                <c:ptCount val="8"/>
                <c:pt idx="0">
                  <c:v>0.25942233238393669</c:v>
                </c:pt>
                <c:pt idx="1">
                  <c:v>0.28106005219045954</c:v>
                </c:pt>
                <c:pt idx="2">
                  <c:v>0.30708144848989161</c:v>
                </c:pt>
                <c:pt idx="3">
                  <c:v>0.33157647672092327</c:v>
                </c:pt>
                <c:pt idx="4">
                  <c:v>0.35356533614950564</c:v>
                </c:pt>
                <c:pt idx="5">
                  <c:v>0.3756133860058446</c:v>
                </c:pt>
                <c:pt idx="6">
                  <c:v>0.40069517731841608</c:v>
                </c:pt>
                <c:pt idx="7">
                  <c:v>0.42960018594978006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69C-45B2-B2EB-DC54D910D13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[1]Summary!$C$47:$J$47</c:f>
              <c:numCache>
                <c:formatCode>General</c:formatCode>
                <c:ptCount val="8"/>
                <c:pt idx="0">
                  <c:v>0.21985192926489588</c:v>
                </c:pt>
                <c:pt idx="1">
                  <c:v>0.23018340079593147</c:v>
                </c:pt>
                <c:pt idx="2">
                  <c:v>0.25015503376743098</c:v>
                </c:pt>
                <c:pt idx="3">
                  <c:v>0.27395363548267931</c:v>
                </c:pt>
                <c:pt idx="4">
                  <c:v>0.29893577263907045</c:v>
                </c:pt>
                <c:pt idx="5">
                  <c:v>0.32551962339826307</c:v>
                </c:pt>
                <c:pt idx="6">
                  <c:v>0.35495777377993359</c:v>
                </c:pt>
                <c:pt idx="7">
                  <c:v>0.38718545614215549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69C-45B2-B2EB-DC54D910D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'01_Aerodynamics2'!$B$44:$B$48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'01_Aerodynamics2'!$D$44:$D$48</c:f>
              <c:numCache>
                <c:formatCode>0.0%</c:formatCode>
                <c:ptCount val="5"/>
                <c:pt idx="0">
                  <c:v>0.47573298166354577</c:v>
                </c:pt>
                <c:pt idx="1">
                  <c:v>0.41793026041722875</c:v>
                </c:pt>
                <c:pt idx="2">
                  <c:v>0.37060750790244806</c:v>
                </c:pt>
                <c:pt idx="3">
                  <c:v>0.3211227772915427</c:v>
                </c:pt>
                <c:pt idx="4">
                  <c:v>0.27288907801993306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4E-4C9F-987C-FC54EB0D431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'01_Aerodynamics2'!$K$44:$K$48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'01_Aerodynamics2'!$M$44:$M$48</c:f>
              <c:numCache>
                <c:formatCode>0.000</c:formatCode>
                <c:ptCount val="5"/>
                <c:pt idx="0">
                  <c:v>0.48246797264059699</c:v>
                </c:pt>
                <c:pt idx="1">
                  <c:v>0.44286772345293052</c:v>
                </c:pt>
                <c:pt idx="2">
                  <c:v>0.39408325106267422</c:v>
                </c:pt>
                <c:pt idx="3">
                  <c:v>0.33957560120184593</c:v>
                </c:pt>
                <c:pt idx="4">
                  <c:v>0.28106005219045954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4E-4C9F-987C-FC54EB0D4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39280"/>
        <c:axId val="1025338032"/>
      </c:scatterChart>
      <c:valAx>
        <c:axId val="102533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8032"/>
        <c:crosses val="autoZero"/>
        <c:crossBetween val="midCat"/>
      </c:valAx>
      <c:valAx>
        <c:axId val="102533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'01_Aerodynamics2'!$C$43:$G$43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'01_Aerodynamics2'!$C$37:$G$37</c:f>
              <c:numCache>
                <c:formatCode>0.000</c:formatCode>
                <c:ptCount val="5"/>
                <c:pt idx="0">
                  <c:v>2.90761</c:v>
                </c:pt>
                <c:pt idx="1">
                  <c:v>3.4672799999999997</c:v>
                </c:pt>
                <c:pt idx="2">
                  <c:v>3.6060499999999998</c:v>
                </c:pt>
                <c:pt idx="3">
                  <c:v>3.6500700000000004</c:v>
                </c:pt>
                <c:pt idx="4">
                  <c:v>3.7595000000000001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82-48BA-9613-9D434DA9B797}"/>
            </c:ext>
          </c:extLst>
        </c:ser>
        <c:ser>
          <c:idx val="1"/>
          <c:order val="1"/>
          <c:tx>
            <c:strRef>
              <c:f>'01_Aerodynamics2'!$L$43:$P$43</c:f>
              <c:strCach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'01_Aerodynamics2'!$L$43:$P$43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'01_Aerodynamics2'!$L$37:$P$37</c:f>
              <c:numCache>
                <c:formatCode>0.000</c:formatCode>
                <c:ptCount val="5"/>
                <c:pt idx="0">
                  <c:v>3.4102003035847299</c:v>
                </c:pt>
                <c:pt idx="1">
                  <c:v>3.5852397193933832</c:v>
                </c:pt>
                <c:pt idx="2">
                  <c:v>3.7783492074893514</c:v>
                </c:pt>
                <c:pt idx="3">
                  <c:v>3.9669151666054474</c:v>
                </c:pt>
                <c:pt idx="4">
                  <c:v>4.126166096913181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82-48BA-9613-9D434DA9B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48848"/>
        <c:axId val="1025351344"/>
      </c:scatterChart>
      <c:valAx>
        <c:axId val="102534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51344"/>
        <c:crosses val="autoZero"/>
        <c:crossBetween val="midCat"/>
      </c:valAx>
      <c:valAx>
        <c:axId val="102535134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4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(LM-FP3)'!$C$2:$H$2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B0-4998-AB09-3FAE499F5A5D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(LM-FP3)'!$B$9:$B$23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0-4998-AB09-3FAE499F5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(LM-FP3)'!$B$9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17-49BB-9C4A-CD1A41D3AD72}"/>
            </c:ext>
          </c:extLst>
        </c:ser>
        <c:ser>
          <c:idx val="1"/>
          <c:order val="1"/>
          <c:tx>
            <c:strRef>
              <c:f>'03_Anti-Roll Bars (LM-FP3)'!$B$9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(LM-FP3)'!$D$26:$F$26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17-49BB-9C4A-CD1A41D3AD72}"/>
            </c:ext>
          </c:extLst>
        </c:ser>
        <c:ser>
          <c:idx val="2"/>
          <c:order val="2"/>
          <c:tx>
            <c:strRef>
              <c:f>'03_Anti-Roll Bars (LM-FP3)'!$B$9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17-49BB-9C4A-CD1A41D3AD72}"/>
            </c:ext>
          </c:extLst>
        </c:ser>
        <c:ser>
          <c:idx val="3"/>
          <c:order val="3"/>
          <c:tx>
            <c:strRef>
              <c:f>'03_Anti-Roll Bars (LM-FP3)'!$B$9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17-49BB-9C4A-CD1A41D3AD72}"/>
            </c:ext>
          </c:extLst>
        </c:ser>
        <c:ser>
          <c:idx val="4"/>
          <c:order val="4"/>
          <c:tx>
            <c:strRef>
              <c:f>'03_Anti-Roll Bars (LM-FP3)'!$B$10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(LM-FP3)'!$C$10:$D$10</c:f>
              <c:numCache>
                <c:formatCode>0.000</c:formatCode>
                <c:ptCount val="2"/>
                <c:pt idx="0">
                  <c:v>0.25893325934107547</c:v>
                </c:pt>
                <c:pt idx="1">
                  <c:v>0.27976750189690885</c:v>
                </c:pt>
              </c:numCache>
            </c:numRef>
          </c:xVal>
          <c:yVal>
            <c:numRef>
              <c:f>'03_Anti-Roll Bars (LM-FP3)'!$C$27:$D$27</c:f>
              <c:numCache>
                <c:formatCode>0.0%</c:formatCode>
                <c:ptCount val="2"/>
                <c:pt idx="0">
                  <c:v>0.52125009687264812</c:v>
                </c:pt>
                <c:pt idx="1">
                  <c:v>0.48272900602970475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917-49BB-9C4A-CD1A41D3AD72}"/>
            </c:ext>
          </c:extLst>
        </c:ser>
        <c:ser>
          <c:idx val="5"/>
          <c:order val="5"/>
          <c:tx>
            <c:strRef>
              <c:f>'03_Anti-Roll Bars (LM-FP3)'!$B$10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(LM-FP3)'!$D$10:$F$10</c:f>
              <c:numCache>
                <c:formatCode>0.000</c:formatCode>
                <c:ptCount val="3"/>
                <c:pt idx="0">
                  <c:v>0.27976750189690885</c:v>
                </c:pt>
                <c:pt idx="1">
                  <c:v>0.2884897416269056</c:v>
                </c:pt>
                <c:pt idx="2">
                  <c:v>0.29773471167030557</c:v>
                </c:pt>
              </c:numCache>
            </c:numRef>
          </c:xVal>
          <c:yVal>
            <c:numRef>
              <c:f>'03_Anti-Roll Bars (LM-FP3)'!$D$27:$F$27</c:f>
              <c:numCache>
                <c:formatCode>0.0%</c:formatCode>
                <c:ptCount val="3"/>
                <c:pt idx="0">
                  <c:v>0.48272900602970475</c:v>
                </c:pt>
                <c:pt idx="1">
                  <c:v>0.46660218077590832</c:v>
                </c:pt>
                <c:pt idx="2">
                  <c:v>0.44950886289176994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917-49BB-9C4A-CD1A41D3AD72}"/>
            </c:ext>
          </c:extLst>
        </c:ser>
        <c:ser>
          <c:idx val="6"/>
          <c:order val="6"/>
          <c:tx>
            <c:strRef>
              <c:f>'03_Anti-Roll Bars (LM-FP3)'!$B$10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(LM-FP3)'!$F$10:$G$10</c:f>
              <c:numCache>
                <c:formatCode>0.000</c:formatCode>
                <c:ptCount val="2"/>
                <c:pt idx="0">
                  <c:v>0.29773471167030557</c:v>
                </c:pt>
              </c:numCache>
            </c:numRef>
          </c:xVal>
          <c:yVal>
            <c:numRef>
              <c:f>'03_Anti-Roll Bars (LM-FP3)'!$F$27:$G$27</c:f>
              <c:numCache>
                <c:formatCode>0.0%</c:formatCode>
                <c:ptCount val="2"/>
                <c:pt idx="0">
                  <c:v>0.44950886289176994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917-49BB-9C4A-CD1A41D3AD72}"/>
            </c:ext>
          </c:extLst>
        </c:ser>
        <c:ser>
          <c:idx val="7"/>
          <c:order val="7"/>
          <c:tx>
            <c:strRef>
              <c:f>'03_Anti-Roll Bars (LM-FP3)'!$B$10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917-49BB-9C4A-CD1A41D3AD72}"/>
            </c:ext>
          </c:extLst>
        </c:ser>
        <c:ser>
          <c:idx val="8"/>
          <c:order val="8"/>
          <c:tx>
            <c:strRef>
              <c:f>'03_Anti-Roll Bars (LM-FP3)'!$B$11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(LM-FP3)'!$C$11:$D$11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917-49BB-9C4A-CD1A41D3AD72}"/>
            </c:ext>
          </c:extLst>
        </c:ser>
        <c:ser>
          <c:idx val="9"/>
          <c:order val="9"/>
          <c:tx>
            <c:strRef>
              <c:f>'03_Anti-Roll Bars (LM-FP3)'!$B$11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(LM-FP3)'!$D$11:$F$11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(LM-FP3)'!$D$28:$F$28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917-49BB-9C4A-CD1A41D3AD72}"/>
            </c:ext>
          </c:extLst>
        </c:ser>
        <c:ser>
          <c:idx val="10"/>
          <c:order val="10"/>
          <c:tx>
            <c:strRef>
              <c:f>'03_Anti-Roll Bars (LM-FP3)'!$B$11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(LM-FP3)'!$F$11:$G$11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917-49BB-9C4A-CD1A41D3AD72}"/>
            </c:ext>
          </c:extLst>
        </c:ser>
        <c:ser>
          <c:idx val="11"/>
          <c:order val="11"/>
          <c:tx>
            <c:strRef>
              <c:f>'03_Anti-Roll Bars (LM-FP3)'!$B$11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(LM-FP3)'!$G$11:$H$11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917-49BB-9C4A-CD1A41D3AD72}"/>
            </c:ext>
          </c:extLst>
        </c:ser>
        <c:ser>
          <c:idx val="12"/>
          <c:order val="12"/>
          <c:tx>
            <c:strRef>
              <c:f>'03_Anti-Roll Bars (LM-FP3)'!$B$12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(LM-FP3)'!$C$12:$D$12</c:f>
              <c:numCache>
                <c:formatCode>0.000</c:formatCode>
                <c:ptCount val="2"/>
                <c:pt idx="0">
                  <c:v>0.26388812698727482</c:v>
                </c:pt>
                <c:pt idx="1">
                  <c:v>0.28556072304426705</c:v>
                </c:pt>
              </c:numCache>
            </c:numRef>
          </c:xVal>
          <c:yVal>
            <c:numRef>
              <c:f>'03_Anti-Roll Bars (LM-FP3)'!$C$29:$D$29</c:f>
              <c:numCache>
                <c:formatCode>0.0%</c:formatCode>
                <c:ptCount val="2"/>
                <c:pt idx="0">
                  <c:v>0.53122457928230449</c:v>
                </c:pt>
                <c:pt idx="1">
                  <c:v>0.49272500580527906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917-49BB-9C4A-CD1A41D3AD72}"/>
            </c:ext>
          </c:extLst>
        </c:ser>
        <c:ser>
          <c:idx val="13"/>
          <c:order val="13"/>
          <c:tx>
            <c:strRef>
              <c:f>'03_Anti-Roll Bars (LM-FP3)'!$B$12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(LM-FP3)'!$D$12:$F$12</c:f>
              <c:numCache>
                <c:formatCode>0.000</c:formatCode>
                <c:ptCount val="3"/>
                <c:pt idx="0">
                  <c:v>0.28556072304426705</c:v>
                </c:pt>
                <c:pt idx="1">
                  <c:v>0.29465380069209796</c:v>
                </c:pt>
                <c:pt idx="2">
                  <c:v>0.30430466755597546</c:v>
                </c:pt>
              </c:numCache>
            </c:numRef>
          </c:xVal>
          <c:yVal>
            <c:numRef>
              <c:f>'03_Anti-Roll Bars (LM-FP3)'!$D$29:$F$29</c:f>
              <c:numCache>
                <c:formatCode>0.0%</c:formatCode>
                <c:ptCount val="3"/>
                <c:pt idx="0">
                  <c:v>0.49272500580527906</c:v>
                </c:pt>
                <c:pt idx="1">
                  <c:v>0.47657190582065501</c:v>
                </c:pt>
                <c:pt idx="2">
                  <c:v>0.45942793945106231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917-49BB-9C4A-CD1A41D3AD72}"/>
            </c:ext>
          </c:extLst>
        </c:ser>
        <c:ser>
          <c:idx val="14"/>
          <c:order val="14"/>
          <c:tx>
            <c:strRef>
              <c:f>'03_Anti-Roll Bars (LM-FP3)'!$B$12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(LM-FP3)'!$F$12:$G$12</c:f>
              <c:numCache>
                <c:formatCode>0.000</c:formatCode>
                <c:ptCount val="2"/>
                <c:pt idx="0">
                  <c:v>0.30430466755597546</c:v>
                </c:pt>
              </c:numCache>
            </c:numRef>
          </c:xVal>
          <c:yVal>
            <c:numRef>
              <c:f>'03_Anti-Roll Bars (LM-FP3)'!$F$29:$G$29</c:f>
              <c:numCache>
                <c:formatCode>0.0%</c:formatCode>
                <c:ptCount val="2"/>
                <c:pt idx="0">
                  <c:v>0.45942793945106231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917-49BB-9C4A-CD1A41D3AD72}"/>
            </c:ext>
          </c:extLst>
        </c:ser>
        <c:ser>
          <c:idx val="15"/>
          <c:order val="15"/>
          <c:tx>
            <c:strRef>
              <c:f>'03_Anti-Roll Bars (LM-FP3)'!$B$12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(LM-FP3)'!$G$12:$H$12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917-49BB-9C4A-CD1A41D3AD72}"/>
            </c:ext>
          </c:extLst>
        </c:ser>
        <c:ser>
          <c:idx val="16"/>
          <c:order val="16"/>
          <c:tx>
            <c:strRef>
              <c:f>'03_Anti-Roll Bars (LM-FP3)'!$B$13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(LM-FP3)'!$C$13:$D$13</c:f>
              <c:numCache>
                <c:formatCode>0.000</c:formatCode>
                <c:ptCount val="2"/>
                <c:pt idx="0">
                  <c:v>0.26651039619327765</c:v>
                </c:pt>
                <c:pt idx="1">
                  <c:v>0.28863391081409945</c:v>
                </c:pt>
              </c:numCache>
            </c:numRef>
          </c:xVal>
          <c:yVal>
            <c:numRef>
              <c:f>'03_Anti-Roll Bars (LM-FP3)'!$C$30:$D$30</c:f>
              <c:numCache>
                <c:formatCode>0.0%</c:formatCode>
                <c:ptCount val="2"/>
                <c:pt idx="0">
                  <c:v>0.53650338387130725</c:v>
                </c:pt>
                <c:pt idx="1">
                  <c:v>0.49802768344801868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917-49BB-9C4A-CD1A41D3AD72}"/>
            </c:ext>
          </c:extLst>
        </c:ser>
        <c:ser>
          <c:idx val="17"/>
          <c:order val="17"/>
          <c:tx>
            <c:strRef>
              <c:f>'03_Anti-Roll Bars (LM-FP3)'!$B$13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(LM-FP3)'!$D$13:$F$13</c:f>
              <c:numCache>
                <c:formatCode>0.000</c:formatCode>
                <c:ptCount val="3"/>
                <c:pt idx="0">
                  <c:v>0.28863391081409945</c:v>
                </c:pt>
                <c:pt idx="1">
                  <c:v>0.29792694459591562</c:v>
                </c:pt>
                <c:pt idx="2">
                  <c:v>0.30779700558957968</c:v>
                </c:pt>
              </c:numCache>
            </c:numRef>
          </c:xVal>
          <c:yVal>
            <c:numRef>
              <c:f>'03_Anti-Roll Bars (LM-FP3)'!$D$30:$F$30</c:f>
              <c:numCache>
                <c:formatCode>0.0%</c:formatCode>
                <c:ptCount val="3"/>
                <c:pt idx="0">
                  <c:v>0.49802768344801868</c:v>
                </c:pt>
                <c:pt idx="1">
                  <c:v>0.48186587598022407</c:v>
                </c:pt>
                <c:pt idx="2">
                  <c:v>0.46470054233136548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917-49BB-9C4A-CD1A41D3AD72}"/>
            </c:ext>
          </c:extLst>
        </c:ser>
        <c:ser>
          <c:idx val="18"/>
          <c:order val="18"/>
          <c:tx>
            <c:strRef>
              <c:f>'03_Anti-Roll Bars (LM-FP3)'!$B$13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(LM-FP3)'!$F$13:$G$13</c:f>
              <c:numCache>
                <c:formatCode>0.000</c:formatCode>
                <c:ptCount val="2"/>
                <c:pt idx="0">
                  <c:v>0.30779700558957968</c:v>
                </c:pt>
              </c:numCache>
            </c:numRef>
          </c:xVal>
          <c:yVal>
            <c:numRef>
              <c:f>'03_Anti-Roll Bars (LM-FP3)'!$F$30:$G$30</c:f>
              <c:numCache>
                <c:formatCode>0.0%</c:formatCode>
                <c:ptCount val="2"/>
                <c:pt idx="0">
                  <c:v>0.46470054233136548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917-49BB-9C4A-CD1A41D3AD72}"/>
            </c:ext>
          </c:extLst>
        </c:ser>
        <c:ser>
          <c:idx val="19"/>
          <c:order val="19"/>
          <c:tx>
            <c:strRef>
              <c:f>'03_Anti-Roll Bars (LM-FP3)'!$B$13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917-49BB-9C4A-CD1A41D3AD72}"/>
            </c:ext>
          </c:extLst>
        </c:ser>
        <c:ser>
          <c:idx val="20"/>
          <c:order val="20"/>
          <c:tx>
            <c:strRef>
              <c:f>'03_Anti-Roll Bars (LM-FP3)'!$B$14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(LM-FP3)'!$C$14:$D$14</c:f>
              <c:numCache>
                <c:formatCode>0.000</c:formatCode>
                <c:ptCount val="2"/>
                <c:pt idx="0">
                  <c:v>0.27087276756690248</c:v>
                </c:pt>
                <c:pt idx="1">
                  <c:v>0.29375756185821811</c:v>
                </c:pt>
              </c:numCache>
            </c:numRef>
          </c:xVal>
          <c:yVal>
            <c:numRef>
              <c:f>'03_Anti-Roll Bars (LM-FP3)'!$C$31:$D$31</c:f>
              <c:numCache>
                <c:formatCode>0.0%</c:formatCode>
                <c:ptCount val="2"/>
                <c:pt idx="0">
                  <c:v>0.54528513136439838</c:v>
                </c:pt>
                <c:pt idx="1">
                  <c:v>0.50686836350914255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917-49BB-9C4A-CD1A41D3AD72}"/>
            </c:ext>
          </c:extLst>
        </c:ser>
        <c:ser>
          <c:idx val="21"/>
          <c:order val="21"/>
          <c:tx>
            <c:strRef>
              <c:f>'03_Anti-Roll Bars (LM-FP3)'!$B$14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(LM-FP3)'!$D$14:$F$14</c:f>
              <c:numCache>
                <c:formatCode>0.000</c:formatCode>
                <c:ptCount val="3"/>
                <c:pt idx="0">
                  <c:v>0.29375756185821811</c:v>
                </c:pt>
                <c:pt idx="1">
                  <c:v>0.30338895705642099</c:v>
                </c:pt>
                <c:pt idx="2">
                  <c:v>0.31363045934614814</c:v>
                </c:pt>
              </c:numCache>
            </c:numRef>
          </c:xVal>
          <c:yVal>
            <c:numRef>
              <c:f>'03_Anti-Roll Bars (LM-FP3)'!$D$31:$F$31</c:f>
              <c:numCache>
                <c:formatCode>0.0%</c:formatCode>
                <c:ptCount val="3"/>
                <c:pt idx="0">
                  <c:v>0.50686836350914255</c:v>
                </c:pt>
                <c:pt idx="1">
                  <c:v>0.49070011358993776</c:v>
                </c:pt>
                <c:pt idx="2">
                  <c:v>0.47350767519852849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917-49BB-9C4A-CD1A41D3AD72}"/>
            </c:ext>
          </c:extLst>
        </c:ser>
        <c:ser>
          <c:idx val="22"/>
          <c:order val="22"/>
          <c:tx>
            <c:strRef>
              <c:f>'03_Anti-Roll Bars (LM-FP3)'!$B$14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(LM-FP3)'!$F$14:$G$14</c:f>
              <c:numCache>
                <c:formatCode>0.000</c:formatCode>
                <c:ptCount val="2"/>
                <c:pt idx="0">
                  <c:v>0.31363045934614814</c:v>
                </c:pt>
              </c:numCache>
            </c:numRef>
          </c:xVal>
          <c:yVal>
            <c:numRef>
              <c:f>'03_Anti-Roll Bars (LM-FP3)'!$F$31:$G$31</c:f>
              <c:numCache>
                <c:formatCode>0.0%</c:formatCode>
                <c:ptCount val="2"/>
                <c:pt idx="0">
                  <c:v>0.47350767519852849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917-49BB-9C4A-CD1A41D3AD72}"/>
            </c:ext>
          </c:extLst>
        </c:ser>
        <c:ser>
          <c:idx val="23"/>
          <c:order val="23"/>
          <c:tx>
            <c:strRef>
              <c:f>'03_Anti-Roll Bars (LM-FP3)'!$B$14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(LM-FP3)'!$G$14:$H$14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917-49BB-9C4A-CD1A41D3AD72}"/>
            </c:ext>
          </c:extLst>
        </c:ser>
        <c:ser>
          <c:idx val="24"/>
          <c:order val="24"/>
          <c:tx>
            <c:strRef>
              <c:f>'03_Anti-Roll Bars (LM-FP3)'!$B$15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917-49BB-9C4A-CD1A41D3AD72}"/>
            </c:ext>
          </c:extLst>
        </c:ser>
        <c:ser>
          <c:idx val="25"/>
          <c:order val="25"/>
          <c:tx>
            <c:strRef>
              <c:f>'03_Anti-Roll Bars (LM-FP3)'!$B$15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(LM-FP3)'!$D$32:$F$32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917-49BB-9C4A-CD1A41D3AD72}"/>
            </c:ext>
          </c:extLst>
        </c:ser>
        <c:ser>
          <c:idx val="26"/>
          <c:order val="26"/>
          <c:tx>
            <c:strRef>
              <c:f>'03_Anti-Roll Bars (LM-FP3)'!$B$15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917-49BB-9C4A-CD1A41D3AD72}"/>
            </c:ext>
          </c:extLst>
        </c:ser>
        <c:ser>
          <c:idx val="27"/>
          <c:order val="27"/>
          <c:tx>
            <c:strRef>
              <c:f>'03_Anti-Roll Bars (LM-FP3)'!$B$15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917-49BB-9C4A-CD1A41D3AD72}"/>
            </c:ext>
          </c:extLst>
        </c:ser>
        <c:ser>
          <c:idx val="28"/>
          <c:order val="28"/>
          <c:tx>
            <c:strRef>
              <c:f>'03_Anti-Roll Bars (LM-FP3)'!$B$16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(LM-FP3)'!$C$16:$D$16</c:f>
              <c:numCache>
                <c:formatCode>0.000</c:formatCode>
                <c:ptCount val="2"/>
                <c:pt idx="0">
                  <c:v>0.27454435925117426</c:v>
                </c:pt>
                <c:pt idx="1">
                  <c:v>0.29808070309586598</c:v>
                </c:pt>
              </c:numCache>
            </c:numRef>
          </c:xVal>
          <c:yVal>
            <c:numRef>
              <c:f>'03_Anti-Roll Bars (LM-FP3)'!$C$33:$D$33</c:f>
              <c:numCache>
                <c:formatCode>0.0%</c:formatCode>
                <c:ptCount val="2"/>
                <c:pt idx="0">
                  <c:v>0.55267629280103159</c:v>
                </c:pt>
                <c:pt idx="1">
                  <c:v>0.5143277919932443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917-49BB-9C4A-CD1A41D3AD72}"/>
            </c:ext>
          </c:extLst>
        </c:ser>
        <c:ser>
          <c:idx val="29"/>
          <c:order val="29"/>
          <c:tx>
            <c:strRef>
              <c:f>'03_Anti-Roll Bars (LM-FP3)'!$B$16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(LM-FP3)'!$D$16:$F$16</c:f>
              <c:numCache>
                <c:formatCode>0.000</c:formatCode>
                <c:ptCount val="3"/>
                <c:pt idx="0">
                  <c:v>0.29808070309586598</c:v>
                </c:pt>
                <c:pt idx="1">
                  <c:v>0.30800245632785533</c:v>
                </c:pt>
                <c:pt idx="2">
                  <c:v>0.31856322381529401</c:v>
                </c:pt>
              </c:numCache>
            </c:numRef>
          </c:xVal>
          <c:yVal>
            <c:numRef>
              <c:f>'03_Anti-Roll Bars (LM-FP3)'!$D$33:$F$33</c:f>
              <c:numCache>
                <c:formatCode>0.0%</c:formatCode>
                <c:ptCount val="3"/>
                <c:pt idx="0">
                  <c:v>0.5143277919932443</c:v>
                </c:pt>
                <c:pt idx="1">
                  <c:v>0.49816196928338335</c:v>
                </c:pt>
                <c:pt idx="2">
                  <c:v>0.48095498067056891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917-49BB-9C4A-CD1A41D3AD72}"/>
            </c:ext>
          </c:extLst>
        </c:ser>
        <c:ser>
          <c:idx val="30"/>
          <c:order val="30"/>
          <c:tx>
            <c:strRef>
              <c:f>'03_Anti-Roll Bars (LM-FP3)'!$B$16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(LM-FP3)'!$F$16:$G$16</c:f>
              <c:numCache>
                <c:formatCode>0.000</c:formatCode>
                <c:ptCount val="2"/>
                <c:pt idx="0">
                  <c:v>0.31856322381529401</c:v>
                </c:pt>
              </c:numCache>
            </c:numRef>
          </c:xVal>
          <c:yVal>
            <c:numRef>
              <c:f>'03_Anti-Roll Bars (LM-FP3)'!$F$33:$G$33</c:f>
              <c:numCache>
                <c:formatCode>0.0%</c:formatCode>
                <c:ptCount val="2"/>
                <c:pt idx="0">
                  <c:v>0.48095498067056891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917-49BB-9C4A-CD1A41D3AD72}"/>
            </c:ext>
          </c:extLst>
        </c:ser>
        <c:ser>
          <c:idx val="31"/>
          <c:order val="31"/>
          <c:tx>
            <c:strRef>
              <c:f>'03_Anti-Roll Bars (LM-FP3)'!$B$16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917-49BB-9C4A-CD1A41D3AD72}"/>
            </c:ext>
          </c:extLst>
        </c:ser>
        <c:ser>
          <c:idx val="32"/>
          <c:order val="32"/>
          <c:tx>
            <c:strRef>
              <c:f>'03_Anti-Roll Bars (LM-FP3)'!$B$17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(LM-FP3)'!$C$17:$D$17</c:f>
              <c:numCache>
                <c:formatCode>0.000</c:formatCode>
                <c:ptCount val="2"/>
                <c:pt idx="0">
                  <c:v>0.27823720235487115</c:v>
                </c:pt>
                <c:pt idx="1">
                  <c:v>0.30243887757126359</c:v>
                </c:pt>
              </c:numCache>
            </c:numRef>
          </c:xVal>
          <c:yVal>
            <c:numRef>
              <c:f>'03_Anti-Roll Bars (LM-FP3)'!$C$34:$D$34</c:f>
              <c:numCache>
                <c:formatCode>0.0%</c:formatCode>
                <c:ptCount val="2"/>
                <c:pt idx="0">
                  <c:v>0.56011023477679744</c:v>
                </c:pt>
                <c:pt idx="1">
                  <c:v>0.52184766909958513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F917-49BB-9C4A-CD1A41D3AD72}"/>
            </c:ext>
          </c:extLst>
        </c:ser>
        <c:ser>
          <c:idx val="33"/>
          <c:order val="33"/>
          <c:tx>
            <c:strRef>
              <c:f>'03_Anti-Roll Bars (LM-FP3)'!$B$17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(LM-FP3)'!$D$17:$F$17</c:f>
              <c:numCache>
                <c:formatCode>0.000</c:formatCode>
                <c:ptCount val="3"/>
                <c:pt idx="0">
                  <c:v>0.30243887757126359</c:v>
                </c:pt>
                <c:pt idx="1">
                  <c:v>0.31265785259503337</c:v>
                </c:pt>
                <c:pt idx="2">
                  <c:v>0.32354592339468674</c:v>
                </c:pt>
              </c:numCache>
            </c:numRef>
          </c:xVal>
          <c:yVal>
            <c:numRef>
              <c:f>'03_Anti-Roll Bars (LM-FP3)'!$D$34:$F$34</c:f>
              <c:numCache>
                <c:formatCode>0.0%</c:formatCode>
                <c:ptCount val="3"/>
                <c:pt idx="0">
                  <c:v>0.52184766909958513</c:v>
                </c:pt>
                <c:pt idx="1">
                  <c:v>0.50569158901402367</c:v>
                </c:pt>
                <c:pt idx="2">
                  <c:v>0.48847767632637251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917-49BB-9C4A-CD1A41D3AD72}"/>
            </c:ext>
          </c:extLst>
        </c:ser>
        <c:ser>
          <c:idx val="34"/>
          <c:order val="34"/>
          <c:tx>
            <c:strRef>
              <c:f>'03_Anti-Roll Bars (LM-FP3)'!$B$17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(LM-FP3)'!$F$17:$G$17</c:f>
              <c:numCache>
                <c:formatCode>0.000</c:formatCode>
                <c:ptCount val="2"/>
                <c:pt idx="0">
                  <c:v>0.32354592339468674</c:v>
                </c:pt>
              </c:numCache>
            </c:numRef>
          </c:xVal>
          <c:yVal>
            <c:numRef>
              <c:f>'03_Anti-Roll Bars (LM-FP3)'!$F$34:$G$34</c:f>
              <c:numCache>
                <c:formatCode>0.0%</c:formatCode>
                <c:ptCount val="2"/>
                <c:pt idx="0">
                  <c:v>0.48847767632637251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917-49BB-9C4A-CD1A41D3AD72}"/>
            </c:ext>
          </c:extLst>
        </c:ser>
        <c:ser>
          <c:idx val="35"/>
          <c:order val="35"/>
          <c:tx>
            <c:strRef>
              <c:f>'03_Anti-Roll Bars (LM-FP3)'!$B$17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F917-49BB-9C4A-CD1A41D3AD72}"/>
            </c:ext>
          </c:extLst>
        </c:ser>
        <c:ser>
          <c:idx val="36"/>
          <c:order val="36"/>
          <c:tx>
            <c:strRef>
              <c:f>'03_Anti-Roll Bars (LM-FP3)'!$B$18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(LM-FP3)'!$C$18:$D$18</c:f>
              <c:numCache>
                <c:formatCode>0.000</c:formatCode>
                <c:ptCount val="2"/>
                <c:pt idx="0">
                  <c:v>0.28129633385984976</c:v>
                </c:pt>
                <c:pt idx="1">
                  <c:v>0.30605679390102425</c:v>
                </c:pt>
              </c:numCache>
            </c:numRef>
          </c:xVal>
          <c:yVal>
            <c:numRef>
              <c:f>'03_Anti-Roll Bars (LM-FP3)'!$C$35:$D$35</c:f>
              <c:numCache>
                <c:formatCode>0.0%</c:formatCode>
                <c:ptCount val="2"/>
                <c:pt idx="0">
                  <c:v>0.56626847260755775</c:v>
                </c:pt>
                <c:pt idx="1">
                  <c:v>0.52809025675512911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F917-49BB-9C4A-CD1A41D3AD72}"/>
            </c:ext>
          </c:extLst>
        </c:ser>
        <c:ser>
          <c:idx val="37"/>
          <c:order val="37"/>
          <c:tx>
            <c:strRef>
              <c:f>'03_Anti-Roll Bars (LM-FP3)'!$B$18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(LM-FP3)'!$D$18:$F$18</c:f>
              <c:numCache>
                <c:formatCode>0.000</c:formatCode>
                <c:ptCount val="3"/>
                <c:pt idx="0">
                  <c:v>0.30605679390102425</c:v>
                </c:pt>
                <c:pt idx="1">
                  <c:v>0.31652595123199972</c:v>
                </c:pt>
                <c:pt idx="2">
                  <c:v>0.32768990550700211</c:v>
                </c:pt>
              </c:numCache>
            </c:numRef>
          </c:xVal>
          <c:yVal>
            <c:numRef>
              <c:f>'03_Anti-Roll Bars (LM-FP3)'!$D$35:$F$35</c:f>
              <c:numCache>
                <c:formatCode>0.0%</c:formatCode>
                <c:ptCount val="3"/>
                <c:pt idx="0">
                  <c:v>0.52809025675512911</c:v>
                </c:pt>
                <c:pt idx="1">
                  <c:v>0.51194783663408283</c:v>
                </c:pt>
                <c:pt idx="2">
                  <c:v>0.49473410735082568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917-49BB-9C4A-CD1A41D3AD72}"/>
            </c:ext>
          </c:extLst>
        </c:ser>
        <c:ser>
          <c:idx val="38"/>
          <c:order val="38"/>
          <c:tx>
            <c:strRef>
              <c:f>'03_Anti-Roll Bars (LM-FP3)'!$B$18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(LM-FP3)'!$F$18:$G$18</c:f>
              <c:numCache>
                <c:formatCode>0.000</c:formatCode>
                <c:ptCount val="2"/>
                <c:pt idx="0">
                  <c:v>0.32768990550700211</c:v>
                </c:pt>
              </c:numCache>
            </c:numRef>
          </c:xVal>
          <c:yVal>
            <c:numRef>
              <c:f>'03_Anti-Roll Bars (LM-FP3)'!$F$35:$G$35</c:f>
              <c:numCache>
                <c:formatCode>0.0%</c:formatCode>
                <c:ptCount val="2"/>
                <c:pt idx="0">
                  <c:v>0.49473410735082568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F917-49BB-9C4A-CD1A41D3AD72}"/>
            </c:ext>
          </c:extLst>
        </c:ser>
        <c:ser>
          <c:idx val="39"/>
          <c:order val="39"/>
          <c:tx>
            <c:strRef>
              <c:f>'03_Anti-Roll Bars (LM-FP3)'!$B$18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(LM-FP3)'!$G$18:$H$18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F917-49BB-9C4A-CD1A41D3AD72}"/>
            </c:ext>
          </c:extLst>
        </c:ser>
        <c:ser>
          <c:idx val="40"/>
          <c:order val="40"/>
          <c:tx>
            <c:strRef>
              <c:f>'03_Anti-Roll Bars (LM-FP3)'!$B$23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(LM-FP3)'!$C$23:$D$23</c:f>
              <c:numCache>
                <c:formatCode>0.000</c:formatCode>
                <c:ptCount val="2"/>
                <c:pt idx="0">
                  <c:v>0.31218802784074334</c:v>
                </c:pt>
                <c:pt idx="1">
                  <c:v>0.34298312745428916</c:v>
                </c:pt>
              </c:numCache>
            </c:numRef>
          </c:xVal>
          <c:yVal>
            <c:numRef>
              <c:f>'03_Anti-Roll Bars (LM-FP3)'!$C$40:$D$40</c:f>
              <c:numCache>
                <c:formatCode>0.0%</c:formatCode>
                <c:ptCount val="2"/>
                <c:pt idx="0">
                  <c:v>0.58945174132420897</c:v>
                </c:pt>
                <c:pt idx="1">
                  <c:v>0.5516986418925125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F917-49BB-9C4A-CD1A41D3AD72}"/>
            </c:ext>
          </c:extLst>
        </c:ser>
        <c:ser>
          <c:idx val="41"/>
          <c:order val="41"/>
          <c:tx>
            <c:strRef>
              <c:f>'03_Anti-Roll Bars (LM-FP3)'!$B$23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(LM-FP3)'!$D$23:$F$23</c:f>
              <c:numCache>
                <c:formatCode>0.000</c:formatCode>
                <c:ptCount val="3"/>
                <c:pt idx="0">
                  <c:v>0.34298312745428916</c:v>
                </c:pt>
                <c:pt idx="1">
                  <c:v>0.35618541752861865</c:v>
                </c:pt>
                <c:pt idx="2">
                  <c:v>0.37038498688177762</c:v>
                </c:pt>
              </c:numCache>
            </c:numRef>
          </c:xVal>
          <c:yVal>
            <c:numRef>
              <c:f>'03_Anti-Roll Bars (LM-FP3)'!$D$40:$F$40</c:f>
              <c:numCache>
                <c:formatCode>0.0%</c:formatCode>
                <c:ptCount val="3"/>
                <c:pt idx="0">
                  <c:v>0.5516986418925125</c:v>
                </c:pt>
                <c:pt idx="1">
                  <c:v>0.53565369982424804</c:v>
                </c:pt>
                <c:pt idx="2">
                  <c:v>0.51848968102807824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F917-49BB-9C4A-CD1A41D3AD72}"/>
            </c:ext>
          </c:extLst>
        </c:ser>
        <c:ser>
          <c:idx val="42"/>
          <c:order val="42"/>
          <c:tx>
            <c:strRef>
              <c:f>'03_Anti-Roll Bars (LM-FP3)'!$B$23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(LM-FP3)'!$F$23:$G$23</c:f>
              <c:numCache>
                <c:formatCode>0.000</c:formatCode>
                <c:ptCount val="2"/>
                <c:pt idx="0">
                  <c:v>0.37038498688177762</c:v>
                </c:pt>
              </c:numCache>
            </c:numRef>
          </c:xVal>
          <c:yVal>
            <c:numRef>
              <c:f>'03_Anti-Roll Bars (LM-FP3)'!$F$40:$G$40</c:f>
              <c:numCache>
                <c:formatCode>0.0%</c:formatCode>
                <c:ptCount val="2"/>
                <c:pt idx="0">
                  <c:v>0.51848968102807824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F917-49BB-9C4A-CD1A41D3AD72}"/>
            </c:ext>
          </c:extLst>
        </c:ser>
        <c:ser>
          <c:idx val="43"/>
          <c:order val="43"/>
          <c:tx>
            <c:strRef>
              <c:f>'03_Anti-Roll Bars (LM-FP3)'!$B$23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F917-49BB-9C4A-CD1A41D3AD72}"/>
            </c:ext>
          </c:extLst>
        </c:ser>
        <c:ser>
          <c:idx val="44"/>
          <c:order val="44"/>
          <c:tx>
            <c:strRef>
              <c:f>'03_Anti-Roll Bars (LM-FP3)'!$B$19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917-49BB-9C4A-CD1A41D3AD72}"/>
            </c:ext>
          </c:extLst>
        </c:ser>
        <c:ser>
          <c:idx val="45"/>
          <c:order val="45"/>
          <c:tx>
            <c:strRef>
              <c:f>'03_Anti-Roll Bars (LM-FP3)'!$B$19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(LM-FP3)'!$D$36:$F$36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F917-49BB-9C4A-CD1A41D3AD72}"/>
            </c:ext>
          </c:extLst>
        </c:ser>
        <c:ser>
          <c:idx val="46"/>
          <c:order val="46"/>
          <c:tx>
            <c:strRef>
              <c:f>'03_Anti-Roll Bars (LM-FP3)'!$B$19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F917-49BB-9C4A-CD1A41D3AD72}"/>
            </c:ext>
          </c:extLst>
        </c:ser>
        <c:ser>
          <c:idx val="47"/>
          <c:order val="47"/>
          <c:tx>
            <c:strRef>
              <c:f>'03_Anti-Roll Bars (LM-FP3)'!$B$19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F917-49BB-9C4A-CD1A41D3AD72}"/>
            </c:ext>
          </c:extLst>
        </c:ser>
        <c:ser>
          <c:idx val="48"/>
          <c:order val="48"/>
          <c:tx>
            <c:strRef>
              <c:f>'03_Anti-Roll Bars (LM-FP3)'!$B$20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(LM-FP3)'!$C$20:$D$20</c:f>
              <c:numCache>
                <c:formatCode>0.000</c:formatCode>
                <c:ptCount val="2"/>
                <c:pt idx="0">
                  <c:v>0.28601327441660562</c:v>
                </c:pt>
                <c:pt idx="1">
                  <c:v>0.31164893096113011</c:v>
                </c:pt>
              </c:numCache>
            </c:numRef>
          </c:xVal>
          <c:yVal>
            <c:numRef>
              <c:f>'03_Anti-Roll Bars (LM-FP3)'!$C$37:$D$37</c:f>
              <c:numCache>
                <c:formatCode>0.0%</c:formatCode>
                <c:ptCount val="2"/>
                <c:pt idx="0">
                  <c:v>0.57576399175565152</c:v>
                </c:pt>
                <c:pt idx="1">
                  <c:v>0.53773929299523349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F917-49BB-9C4A-CD1A41D3AD72}"/>
            </c:ext>
          </c:extLst>
        </c:ser>
        <c:ser>
          <c:idx val="49"/>
          <c:order val="49"/>
          <c:tx>
            <c:strRef>
              <c:f>'03_Anti-Roll Bars (LM-FP3)'!$B$20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(LM-FP3)'!$D$20:$F$20</c:f>
              <c:numCache>
                <c:formatCode>0.000</c:formatCode>
                <c:ptCount val="3"/>
                <c:pt idx="0">
                  <c:v>0.31164893096113011</c:v>
                </c:pt>
                <c:pt idx="1">
                  <c:v>0.32251094807650627</c:v>
                </c:pt>
                <c:pt idx="2">
                  <c:v>0.33410881328581937</c:v>
                </c:pt>
              </c:numCache>
            </c:numRef>
          </c:xVal>
          <c:yVal>
            <c:numRef>
              <c:f>'03_Anti-Roll Bars (LM-FP3)'!$D$37:$F$37</c:f>
              <c:numCache>
                <c:formatCode>0.0%</c:formatCode>
                <c:ptCount val="3"/>
                <c:pt idx="0">
                  <c:v>0.53773929299523349</c:v>
                </c:pt>
                <c:pt idx="1">
                  <c:v>0.5216279471428138</c:v>
                </c:pt>
                <c:pt idx="2">
                  <c:v>0.50442513706139025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917-49BB-9C4A-CD1A41D3AD72}"/>
            </c:ext>
          </c:extLst>
        </c:ser>
        <c:ser>
          <c:idx val="50"/>
          <c:order val="50"/>
          <c:tx>
            <c:strRef>
              <c:f>'03_Anti-Roll Bars (LM-FP3)'!$B$20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(LM-FP3)'!$F$20:$G$20</c:f>
              <c:numCache>
                <c:formatCode>0.000</c:formatCode>
                <c:ptCount val="2"/>
                <c:pt idx="0">
                  <c:v>0.33410881328581937</c:v>
                </c:pt>
              </c:numCache>
            </c:numRef>
          </c:xVal>
          <c:yVal>
            <c:numRef>
              <c:f>'03_Anti-Roll Bars (LM-FP3)'!$F$37:$G$37</c:f>
              <c:numCache>
                <c:formatCode>0.0%</c:formatCode>
                <c:ptCount val="2"/>
                <c:pt idx="0">
                  <c:v>0.50442513706139025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917-49BB-9C4A-CD1A41D3AD72}"/>
            </c:ext>
          </c:extLst>
        </c:ser>
        <c:ser>
          <c:idx val="51"/>
          <c:order val="51"/>
          <c:tx>
            <c:strRef>
              <c:f>'03_Anti-Roll Bars (LM-FP3)'!$B$20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F917-49BB-9C4A-CD1A41D3AD72}"/>
            </c:ext>
          </c:extLst>
        </c:ser>
        <c:ser>
          <c:idx val="52"/>
          <c:order val="52"/>
          <c:tx>
            <c:strRef>
              <c:f>'03_Anti-Roll Bars (LM-FP3)'!$B$21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(LM-FP3)'!$C$21:$D$21</c:f>
              <c:numCache>
                <c:formatCode>0.000</c:formatCode>
                <c:ptCount val="2"/>
                <c:pt idx="0">
                  <c:v>0.28833893400991101</c:v>
                </c:pt>
                <c:pt idx="1">
                  <c:v>0.31441219055597558</c:v>
                </c:pt>
              </c:numCache>
            </c:numRef>
          </c:xVal>
          <c:yVal>
            <c:numRef>
              <c:f>'03_Anti-Roll Bars (LM-FP3)'!$C$38:$D$38</c:f>
              <c:numCache>
                <c:formatCode>0.0%</c:formatCode>
                <c:ptCount val="2"/>
                <c:pt idx="0">
                  <c:v>0.58044570121000327</c:v>
                </c:pt>
                <c:pt idx="1">
                  <c:v>0.54250720044902112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917-49BB-9C4A-CD1A41D3AD72}"/>
            </c:ext>
          </c:extLst>
        </c:ser>
        <c:ser>
          <c:idx val="53"/>
          <c:order val="53"/>
          <c:tx>
            <c:strRef>
              <c:f>'03_Anti-Roll Bars (LM-FP3)'!$B$21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(LM-FP3)'!$D$21:$F$21</c:f>
              <c:numCache>
                <c:formatCode>0.000</c:formatCode>
                <c:ptCount val="3"/>
                <c:pt idx="0">
                  <c:v>0.31441219055597558</c:v>
                </c:pt>
                <c:pt idx="1">
                  <c:v>0.32547109698448407</c:v>
                </c:pt>
                <c:pt idx="2">
                  <c:v>0.33728673993101382</c:v>
                </c:pt>
              </c:numCache>
            </c:numRef>
          </c:xVal>
          <c:yVal>
            <c:numRef>
              <c:f>'03_Anti-Roll Bars (LM-FP3)'!$D$38:$F$38</c:f>
              <c:numCache>
                <c:formatCode>0.0%</c:formatCode>
                <c:ptCount val="3"/>
                <c:pt idx="0">
                  <c:v>0.54250720044902112</c:v>
                </c:pt>
                <c:pt idx="1">
                  <c:v>0.52641568041920239</c:v>
                </c:pt>
                <c:pt idx="2">
                  <c:v>0.50922305324865913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917-49BB-9C4A-CD1A41D3AD72}"/>
            </c:ext>
          </c:extLst>
        </c:ser>
        <c:ser>
          <c:idx val="54"/>
          <c:order val="54"/>
          <c:tx>
            <c:strRef>
              <c:f>'03_Anti-Roll Bars (LM-FP3)'!$B$21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(LM-FP3)'!$F$21:$G$21</c:f>
              <c:numCache>
                <c:formatCode>0.000</c:formatCode>
                <c:ptCount val="2"/>
                <c:pt idx="0">
                  <c:v>0.33728673993101382</c:v>
                </c:pt>
              </c:numCache>
            </c:numRef>
          </c:xVal>
          <c:yVal>
            <c:numRef>
              <c:f>'03_Anti-Roll Bars (LM-FP3)'!$F$38:$G$38</c:f>
              <c:numCache>
                <c:formatCode>0.0%</c:formatCode>
                <c:ptCount val="2"/>
                <c:pt idx="0">
                  <c:v>0.50922305324865913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917-49BB-9C4A-CD1A41D3AD72}"/>
            </c:ext>
          </c:extLst>
        </c:ser>
        <c:ser>
          <c:idx val="55"/>
          <c:order val="55"/>
          <c:tx>
            <c:strRef>
              <c:f>'03_Anti-Roll Bars (LM-FP3)'!$B$21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917-49BB-9C4A-CD1A41D3AD72}"/>
            </c:ext>
          </c:extLst>
        </c:ser>
        <c:ser>
          <c:idx val="56"/>
          <c:order val="56"/>
          <c:tx>
            <c:strRef>
              <c:f>'03_Anti-Roll Bars (LM-FP3)'!$B$22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(LM-FP3)'!$C$22:$D$22</c:f>
              <c:numCache>
                <c:formatCode>0.000</c:formatCode>
                <c:ptCount val="2"/>
                <c:pt idx="0">
                  <c:v>0.29089110576249011</c:v>
                </c:pt>
                <c:pt idx="1">
                  <c:v>0.31744922568232659</c:v>
                </c:pt>
              </c:numCache>
            </c:numRef>
          </c:xVal>
          <c:yVal>
            <c:numRef>
              <c:f>'03_Anti-Roll Bars (LM-FP3)'!$C$39:$D$39</c:f>
              <c:numCache>
                <c:formatCode>0.0%</c:formatCode>
                <c:ptCount val="2"/>
                <c:pt idx="0">
                  <c:v>0.58558339490239664</c:v>
                </c:pt>
                <c:pt idx="1">
                  <c:v>0.5477474979742174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F917-49BB-9C4A-CD1A41D3AD72}"/>
            </c:ext>
          </c:extLst>
        </c:ser>
        <c:ser>
          <c:idx val="57"/>
          <c:order val="57"/>
          <c:tx>
            <c:strRef>
              <c:f>'03_Anti-Roll Bars (LM-FP3)'!$B$22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(LM-FP3)'!$D$22:$F$22</c:f>
              <c:numCache>
                <c:formatCode>0.000</c:formatCode>
                <c:ptCount val="3"/>
                <c:pt idx="0">
                  <c:v>0.31744922568232659</c:v>
                </c:pt>
                <c:pt idx="1">
                  <c:v>0.32872664043062355</c:v>
                </c:pt>
                <c:pt idx="2">
                  <c:v>0.34078421725405933</c:v>
                </c:pt>
              </c:numCache>
            </c:numRef>
          </c:xVal>
          <c:yVal>
            <c:numRef>
              <c:f>'03_Anti-Roll Bars (LM-FP3)'!$D$39:$F$39</c:f>
              <c:numCache>
                <c:formatCode>0.0%</c:formatCode>
                <c:ptCount val="3"/>
                <c:pt idx="0">
                  <c:v>0.5477474979742174</c:v>
                </c:pt>
                <c:pt idx="1">
                  <c:v>0.53168118366730011</c:v>
                </c:pt>
                <c:pt idx="2">
                  <c:v>0.51450341523820387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F917-49BB-9C4A-CD1A41D3AD72}"/>
            </c:ext>
          </c:extLst>
        </c:ser>
        <c:ser>
          <c:idx val="58"/>
          <c:order val="58"/>
          <c:tx>
            <c:strRef>
              <c:f>'03_Anti-Roll Bars (LM-FP3)'!$B$22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(LM-FP3)'!$F$22:$G$22</c:f>
              <c:numCache>
                <c:formatCode>0.000</c:formatCode>
                <c:ptCount val="2"/>
                <c:pt idx="0">
                  <c:v>0.34078421725405933</c:v>
                </c:pt>
              </c:numCache>
            </c:numRef>
          </c:xVal>
          <c:yVal>
            <c:numRef>
              <c:f>'03_Anti-Roll Bars (LM-FP3)'!$F$39:$G$39</c:f>
              <c:numCache>
                <c:formatCode>0.0%</c:formatCode>
                <c:ptCount val="2"/>
                <c:pt idx="0">
                  <c:v>0.51450341523820387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F917-49BB-9C4A-CD1A41D3AD72}"/>
            </c:ext>
          </c:extLst>
        </c:ser>
        <c:ser>
          <c:idx val="59"/>
          <c:order val="59"/>
          <c:tx>
            <c:strRef>
              <c:f>'03_Anti-Roll Bars (LM-FP3)'!$B$22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F917-49BB-9C4A-CD1A41D3A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(LM-FP1)'!$C$2:$H$2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80-416D-BAF8-AB57AC37FD39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(LM-FP1)'!$B$9:$B$23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80-416D-BAF8-AB57AC37F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(LM-FP1)'!$B$9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6D-4896-9210-1DEEA2D8DEF1}"/>
            </c:ext>
          </c:extLst>
        </c:ser>
        <c:ser>
          <c:idx val="1"/>
          <c:order val="1"/>
          <c:tx>
            <c:strRef>
              <c:f>'03_Anti-Roll Bars (LM-FP1)'!$B$9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(LM-FP1)'!$D$26:$F$26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6D-4896-9210-1DEEA2D8DEF1}"/>
            </c:ext>
          </c:extLst>
        </c:ser>
        <c:ser>
          <c:idx val="2"/>
          <c:order val="2"/>
          <c:tx>
            <c:strRef>
              <c:f>'03_Anti-Roll Bars (LM-FP1)'!$B$9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6D-4896-9210-1DEEA2D8DEF1}"/>
            </c:ext>
          </c:extLst>
        </c:ser>
        <c:ser>
          <c:idx val="3"/>
          <c:order val="3"/>
          <c:tx>
            <c:strRef>
              <c:f>'03_Anti-Roll Bars (LM-FP1)'!$B$9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6D-4896-9210-1DEEA2D8DEF1}"/>
            </c:ext>
          </c:extLst>
        </c:ser>
        <c:ser>
          <c:idx val="4"/>
          <c:order val="4"/>
          <c:tx>
            <c:strRef>
              <c:f>'03_Anti-Roll Bars (LM-FP1)'!$B$10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(LM-FP1)'!$C$27:$D$27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46D-4896-9210-1DEEA2D8DEF1}"/>
            </c:ext>
          </c:extLst>
        </c:ser>
        <c:ser>
          <c:idx val="5"/>
          <c:order val="5"/>
          <c:tx>
            <c:strRef>
              <c:f>'03_Anti-Roll Bars (LM-FP1)'!$B$10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(LM-FP1)'!$D$27:$F$27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46D-4896-9210-1DEEA2D8DEF1}"/>
            </c:ext>
          </c:extLst>
        </c:ser>
        <c:ser>
          <c:idx val="6"/>
          <c:order val="6"/>
          <c:tx>
            <c:strRef>
              <c:f>'03_Anti-Roll Bars (LM-FP1)'!$B$10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(LM-FP1)'!$F$27:$G$27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46D-4896-9210-1DEEA2D8DEF1}"/>
            </c:ext>
          </c:extLst>
        </c:ser>
        <c:ser>
          <c:idx val="7"/>
          <c:order val="7"/>
          <c:tx>
            <c:strRef>
              <c:f>'03_Anti-Roll Bars (LM-FP1)'!$B$10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46D-4896-9210-1DEEA2D8DEF1}"/>
            </c:ext>
          </c:extLst>
        </c:ser>
        <c:ser>
          <c:idx val="8"/>
          <c:order val="8"/>
          <c:tx>
            <c:strRef>
              <c:f>'03_Anti-Roll Bars (LM-FP1)'!$B$11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(LM-FP1)'!$C$11:$D$11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46D-4896-9210-1DEEA2D8DEF1}"/>
            </c:ext>
          </c:extLst>
        </c:ser>
        <c:ser>
          <c:idx val="9"/>
          <c:order val="9"/>
          <c:tx>
            <c:strRef>
              <c:f>'03_Anti-Roll Bars (LM-FP1)'!$B$11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(LM-FP1)'!$D$11:$F$11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(LM-FP1)'!$D$28:$F$28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46D-4896-9210-1DEEA2D8DEF1}"/>
            </c:ext>
          </c:extLst>
        </c:ser>
        <c:ser>
          <c:idx val="10"/>
          <c:order val="10"/>
          <c:tx>
            <c:strRef>
              <c:f>'03_Anti-Roll Bars (LM-FP1)'!$B$11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(LM-FP1)'!$F$11:$G$11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46D-4896-9210-1DEEA2D8DEF1}"/>
            </c:ext>
          </c:extLst>
        </c:ser>
        <c:ser>
          <c:idx val="11"/>
          <c:order val="11"/>
          <c:tx>
            <c:strRef>
              <c:f>'03_Anti-Roll Bars (LM-FP1)'!$B$11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(LM-FP1)'!$G$11:$H$11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46D-4896-9210-1DEEA2D8DEF1}"/>
            </c:ext>
          </c:extLst>
        </c:ser>
        <c:ser>
          <c:idx val="12"/>
          <c:order val="12"/>
          <c:tx>
            <c:strRef>
              <c:f>'03_Anti-Roll Bars (LM-FP1)'!$B$12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(LM-FP1)'!$C$12:$D$12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(LM-FP1)'!$C$29:$D$29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46D-4896-9210-1DEEA2D8DEF1}"/>
            </c:ext>
          </c:extLst>
        </c:ser>
        <c:ser>
          <c:idx val="13"/>
          <c:order val="13"/>
          <c:tx>
            <c:strRef>
              <c:f>'03_Anti-Roll Bars (LM-FP1)'!$B$12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(LM-FP1)'!$D$12:$F$12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(LM-FP1)'!$D$29:$F$29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46D-4896-9210-1DEEA2D8DEF1}"/>
            </c:ext>
          </c:extLst>
        </c:ser>
        <c:ser>
          <c:idx val="14"/>
          <c:order val="14"/>
          <c:tx>
            <c:strRef>
              <c:f>'03_Anti-Roll Bars (LM-FP1)'!$B$12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(LM-FP1)'!$F$12:$G$12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(LM-FP1)'!$F$29:$G$29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46D-4896-9210-1DEEA2D8DEF1}"/>
            </c:ext>
          </c:extLst>
        </c:ser>
        <c:ser>
          <c:idx val="15"/>
          <c:order val="15"/>
          <c:tx>
            <c:strRef>
              <c:f>'03_Anti-Roll Bars (LM-FP1)'!$B$12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(LM-FP1)'!$G$12:$H$12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46D-4896-9210-1DEEA2D8DEF1}"/>
            </c:ext>
          </c:extLst>
        </c:ser>
        <c:ser>
          <c:idx val="16"/>
          <c:order val="16"/>
          <c:tx>
            <c:strRef>
              <c:f>'03_Anti-Roll Bars (LM-FP1)'!$B$13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(LM-FP1)'!$C$30:$D$30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46D-4896-9210-1DEEA2D8DEF1}"/>
            </c:ext>
          </c:extLst>
        </c:ser>
        <c:ser>
          <c:idx val="17"/>
          <c:order val="17"/>
          <c:tx>
            <c:strRef>
              <c:f>'03_Anti-Roll Bars (LM-FP1)'!$B$13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(LM-FP1)'!$D$30:$F$30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46D-4896-9210-1DEEA2D8DEF1}"/>
            </c:ext>
          </c:extLst>
        </c:ser>
        <c:ser>
          <c:idx val="18"/>
          <c:order val="18"/>
          <c:tx>
            <c:strRef>
              <c:f>'03_Anti-Roll Bars (LM-FP1)'!$B$13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(LM-FP1)'!$F$30:$G$30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46D-4896-9210-1DEEA2D8DEF1}"/>
            </c:ext>
          </c:extLst>
        </c:ser>
        <c:ser>
          <c:idx val="19"/>
          <c:order val="19"/>
          <c:tx>
            <c:strRef>
              <c:f>'03_Anti-Roll Bars (LM-FP1)'!$B$13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46D-4896-9210-1DEEA2D8DEF1}"/>
            </c:ext>
          </c:extLst>
        </c:ser>
        <c:ser>
          <c:idx val="20"/>
          <c:order val="20"/>
          <c:tx>
            <c:strRef>
              <c:f>'03_Anti-Roll Bars (LM-FP1)'!$B$14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(LM-FP1)'!$C$14:$D$14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(LM-FP1)'!$C$31:$D$31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46D-4896-9210-1DEEA2D8DEF1}"/>
            </c:ext>
          </c:extLst>
        </c:ser>
        <c:ser>
          <c:idx val="21"/>
          <c:order val="21"/>
          <c:tx>
            <c:strRef>
              <c:f>'03_Anti-Roll Bars (LM-FP1)'!$B$14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(LM-FP1)'!$D$14:$F$14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(LM-FP1)'!$D$31:$F$31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46D-4896-9210-1DEEA2D8DEF1}"/>
            </c:ext>
          </c:extLst>
        </c:ser>
        <c:ser>
          <c:idx val="22"/>
          <c:order val="22"/>
          <c:tx>
            <c:strRef>
              <c:f>'03_Anti-Roll Bars (LM-FP1)'!$B$14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(LM-FP1)'!$F$14:$G$14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(LM-FP1)'!$F$31:$G$31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46D-4896-9210-1DEEA2D8DEF1}"/>
            </c:ext>
          </c:extLst>
        </c:ser>
        <c:ser>
          <c:idx val="23"/>
          <c:order val="23"/>
          <c:tx>
            <c:strRef>
              <c:f>'03_Anti-Roll Bars (LM-FP1)'!$B$14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(LM-FP1)'!$G$14:$H$14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46D-4896-9210-1DEEA2D8DEF1}"/>
            </c:ext>
          </c:extLst>
        </c:ser>
        <c:ser>
          <c:idx val="24"/>
          <c:order val="24"/>
          <c:tx>
            <c:strRef>
              <c:f>'03_Anti-Roll Bars (LM-FP1)'!$B$15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46D-4896-9210-1DEEA2D8DEF1}"/>
            </c:ext>
          </c:extLst>
        </c:ser>
        <c:ser>
          <c:idx val="25"/>
          <c:order val="25"/>
          <c:tx>
            <c:strRef>
              <c:f>'03_Anti-Roll Bars (LM-FP1)'!$B$15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(LM-FP1)'!$D$32:$F$32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46D-4896-9210-1DEEA2D8DEF1}"/>
            </c:ext>
          </c:extLst>
        </c:ser>
        <c:ser>
          <c:idx val="26"/>
          <c:order val="26"/>
          <c:tx>
            <c:strRef>
              <c:f>'03_Anti-Roll Bars (LM-FP1)'!$B$15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46D-4896-9210-1DEEA2D8DEF1}"/>
            </c:ext>
          </c:extLst>
        </c:ser>
        <c:ser>
          <c:idx val="27"/>
          <c:order val="27"/>
          <c:tx>
            <c:strRef>
              <c:f>'03_Anti-Roll Bars (LM-FP1)'!$B$15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46D-4896-9210-1DEEA2D8DEF1}"/>
            </c:ext>
          </c:extLst>
        </c:ser>
        <c:ser>
          <c:idx val="28"/>
          <c:order val="28"/>
          <c:tx>
            <c:strRef>
              <c:f>'03_Anti-Roll Bars (LM-FP1)'!$B$16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(LM-FP1)'!$C$33:$D$33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46D-4896-9210-1DEEA2D8DEF1}"/>
            </c:ext>
          </c:extLst>
        </c:ser>
        <c:ser>
          <c:idx val="29"/>
          <c:order val="29"/>
          <c:tx>
            <c:strRef>
              <c:f>'03_Anti-Roll Bars (LM-FP1)'!$B$16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(LM-FP1)'!$D$33:$F$33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46D-4896-9210-1DEEA2D8DEF1}"/>
            </c:ext>
          </c:extLst>
        </c:ser>
        <c:ser>
          <c:idx val="30"/>
          <c:order val="30"/>
          <c:tx>
            <c:strRef>
              <c:f>'03_Anti-Roll Bars (LM-FP1)'!$B$16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(LM-FP1)'!$F$33:$G$33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46D-4896-9210-1DEEA2D8DEF1}"/>
            </c:ext>
          </c:extLst>
        </c:ser>
        <c:ser>
          <c:idx val="31"/>
          <c:order val="31"/>
          <c:tx>
            <c:strRef>
              <c:f>'03_Anti-Roll Bars (LM-FP1)'!$B$16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46D-4896-9210-1DEEA2D8DEF1}"/>
            </c:ext>
          </c:extLst>
        </c:ser>
        <c:ser>
          <c:idx val="32"/>
          <c:order val="32"/>
          <c:tx>
            <c:strRef>
              <c:f>'03_Anti-Roll Bars (LM-FP1)'!$B$17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(LM-FP1)'!$C$34:$D$34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46D-4896-9210-1DEEA2D8DEF1}"/>
            </c:ext>
          </c:extLst>
        </c:ser>
        <c:ser>
          <c:idx val="33"/>
          <c:order val="33"/>
          <c:tx>
            <c:strRef>
              <c:f>'03_Anti-Roll Bars (LM-FP1)'!$B$17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(LM-FP1)'!$D$34:$F$34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46D-4896-9210-1DEEA2D8DEF1}"/>
            </c:ext>
          </c:extLst>
        </c:ser>
        <c:ser>
          <c:idx val="34"/>
          <c:order val="34"/>
          <c:tx>
            <c:strRef>
              <c:f>'03_Anti-Roll Bars (LM-FP1)'!$B$17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(LM-FP1)'!$F$34:$G$34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46D-4896-9210-1DEEA2D8DEF1}"/>
            </c:ext>
          </c:extLst>
        </c:ser>
        <c:ser>
          <c:idx val="35"/>
          <c:order val="35"/>
          <c:tx>
            <c:strRef>
              <c:f>'03_Anti-Roll Bars (LM-FP1)'!$B$17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46D-4896-9210-1DEEA2D8DEF1}"/>
            </c:ext>
          </c:extLst>
        </c:ser>
        <c:ser>
          <c:idx val="36"/>
          <c:order val="36"/>
          <c:tx>
            <c:strRef>
              <c:f>'03_Anti-Roll Bars (LM-FP1)'!$B$18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(LM-FP1)'!$C$18:$D$18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(LM-FP1)'!$C$35:$D$35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46D-4896-9210-1DEEA2D8DEF1}"/>
            </c:ext>
          </c:extLst>
        </c:ser>
        <c:ser>
          <c:idx val="37"/>
          <c:order val="37"/>
          <c:tx>
            <c:strRef>
              <c:f>'03_Anti-Roll Bars (LM-FP1)'!$B$18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(LM-FP1)'!$D$18:$F$18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(LM-FP1)'!$D$35:$F$35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46D-4896-9210-1DEEA2D8DEF1}"/>
            </c:ext>
          </c:extLst>
        </c:ser>
        <c:ser>
          <c:idx val="38"/>
          <c:order val="38"/>
          <c:tx>
            <c:strRef>
              <c:f>'03_Anti-Roll Bars (LM-FP1)'!$B$18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(LM-FP1)'!$F$18:$G$18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(LM-FP1)'!$F$35:$G$35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46D-4896-9210-1DEEA2D8DEF1}"/>
            </c:ext>
          </c:extLst>
        </c:ser>
        <c:ser>
          <c:idx val="39"/>
          <c:order val="39"/>
          <c:tx>
            <c:strRef>
              <c:f>'03_Anti-Roll Bars (LM-FP1)'!$B$18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(LM-FP1)'!$G$18:$H$18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46D-4896-9210-1DEEA2D8DEF1}"/>
            </c:ext>
          </c:extLst>
        </c:ser>
        <c:ser>
          <c:idx val="40"/>
          <c:order val="40"/>
          <c:tx>
            <c:strRef>
              <c:f>'03_Anti-Roll Bars (LM-FP1)'!$B$23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(LM-FP1)'!$C$40:$D$40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46D-4896-9210-1DEEA2D8DEF1}"/>
            </c:ext>
          </c:extLst>
        </c:ser>
        <c:ser>
          <c:idx val="41"/>
          <c:order val="41"/>
          <c:tx>
            <c:strRef>
              <c:f>'03_Anti-Roll Bars (LM-FP1)'!$B$23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(LM-FP1)'!$D$40:$F$40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46D-4896-9210-1DEEA2D8DEF1}"/>
            </c:ext>
          </c:extLst>
        </c:ser>
        <c:ser>
          <c:idx val="42"/>
          <c:order val="42"/>
          <c:tx>
            <c:strRef>
              <c:f>'03_Anti-Roll Bars (LM-FP1)'!$B$23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(LM-FP1)'!$F$40:$G$40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46D-4896-9210-1DEEA2D8DEF1}"/>
            </c:ext>
          </c:extLst>
        </c:ser>
        <c:ser>
          <c:idx val="43"/>
          <c:order val="43"/>
          <c:tx>
            <c:strRef>
              <c:f>'03_Anti-Roll Bars (LM-FP1)'!$B$23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46D-4896-9210-1DEEA2D8DEF1}"/>
            </c:ext>
          </c:extLst>
        </c:ser>
        <c:ser>
          <c:idx val="44"/>
          <c:order val="44"/>
          <c:tx>
            <c:strRef>
              <c:f>'03_Anti-Roll Bars (LM-FP1)'!$B$19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46D-4896-9210-1DEEA2D8DEF1}"/>
            </c:ext>
          </c:extLst>
        </c:ser>
        <c:ser>
          <c:idx val="45"/>
          <c:order val="45"/>
          <c:tx>
            <c:strRef>
              <c:f>'03_Anti-Roll Bars (LM-FP1)'!$B$19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(LM-FP1)'!$D$36:$F$36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46D-4896-9210-1DEEA2D8DEF1}"/>
            </c:ext>
          </c:extLst>
        </c:ser>
        <c:ser>
          <c:idx val="46"/>
          <c:order val="46"/>
          <c:tx>
            <c:strRef>
              <c:f>'03_Anti-Roll Bars (LM-FP1)'!$B$19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46D-4896-9210-1DEEA2D8DEF1}"/>
            </c:ext>
          </c:extLst>
        </c:ser>
        <c:ser>
          <c:idx val="47"/>
          <c:order val="47"/>
          <c:tx>
            <c:strRef>
              <c:f>'03_Anti-Roll Bars (LM-FP1)'!$B$19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46D-4896-9210-1DEEA2D8DEF1}"/>
            </c:ext>
          </c:extLst>
        </c:ser>
        <c:ser>
          <c:idx val="48"/>
          <c:order val="48"/>
          <c:tx>
            <c:strRef>
              <c:f>'03_Anti-Roll Bars (LM-FP1)'!$B$20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(LM-FP1)'!$C$37:$D$37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46D-4896-9210-1DEEA2D8DEF1}"/>
            </c:ext>
          </c:extLst>
        </c:ser>
        <c:ser>
          <c:idx val="49"/>
          <c:order val="49"/>
          <c:tx>
            <c:strRef>
              <c:f>'03_Anti-Roll Bars (LM-FP1)'!$B$20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(LM-FP1)'!$D$37:$F$37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46D-4896-9210-1DEEA2D8DEF1}"/>
            </c:ext>
          </c:extLst>
        </c:ser>
        <c:ser>
          <c:idx val="50"/>
          <c:order val="50"/>
          <c:tx>
            <c:strRef>
              <c:f>'03_Anti-Roll Bars (LM-FP1)'!$B$20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(LM-FP1)'!$F$37:$G$37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46D-4896-9210-1DEEA2D8DEF1}"/>
            </c:ext>
          </c:extLst>
        </c:ser>
        <c:ser>
          <c:idx val="51"/>
          <c:order val="51"/>
          <c:tx>
            <c:strRef>
              <c:f>'03_Anti-Roll Bars (LM-FP1)'!$B$20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46D-4896-9210-1DEEA2D8DEF1}"/>
            </c:ext>
          </c:extLst>
        </c:ser>
        <c:ser>
          <c:idx val="52"/>
          <c:order val="52"/>
          <c:tx>
            <c:strRef>
              <c:f>'03_Anti-Roll Bars (LM-FP1)'!$B$21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(LM-FP1)'!$C$38:$D$38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46D-4896-9210-1DEEA2D8DEF1}"/>
            </c:ext>
          </c:extLst>
        </c:ser>
        <c:ser>
          <c:idx val="53"/>
          <c:order val="53"/>
          <c:tx>
            <c:strRef>
              <c:f>'03_Anti-Roll Bars (LM-FP1)'!$B$21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(LM-FP1)'!$D$38:$F$38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46D-4896-9210-1DEEA2D8DEF1}"/>
            </c:ext>
          </c:extLst>
        </c:ser>
        <c:ser>
          <c:idx val="54"/>
          <c:order val="54"/>
          <c:tx>
            <c:strRef>
              <c:f>'03_Anti-Roll Bars (LM-FP1)'!$B$21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(LM-FP1)'!$F$38:$G$38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246D-4896-9210-1DEEA2D8DEF1}"/>
            </c:ext>
          </c:extLst>
        </c:ser>
        <c:ser>
          <c:idx val="55"/>
          <c:order val="55"/>
          <c:tx>
            <c:strRef>
              <c:f>'03_Anti-Roll Bars (LM-FP1)'!$B$21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46D-4896-9210-1DEEA2D8DEF1}"/>
            </c:ext>
          </c:extLst>
        </c:ser>
        <c:ser>
          <c:idx val="56"/>
          <c:order val="56"/>
          <c:tx>
            <c:strRef>
              <c:f>'03_Anti-Roll Bars (LM-FP1)'!$B$22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(LM-FP1)'!$C$39:$D$39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46D-4896-9210-1DEEA2D8DEF1}"/>
            </c:ext>
          </c:extLst>
        </c:ser>
        <c:ser>
          <c:idx val="57"/>
          <c:order val="57"/>
          <c:tx>
            <c:strRef>
              <c:f>'03_Anti-Roll Bars (LM-FP1)'!$B$22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(LM-FP1)'!$D$39:$F$39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46D-4896-9210-1DEEA2D8DEF1}"/>
            </c:ext>
          </c:extLst>
        </c:ser>
        <c:ser>
          <c:idx val="58"/>
          <c:order val="58"/>
          <c:tx>
            <c:strRef>
              <c:f>'03_Anti-Roll Bars (LM-FP1)'!$B$22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(LM-FP1)'!$F$39:$G$39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46D-4896-9210-1DEEA2D8DEF1}"/>
            </c:ext>
          </c:extLst>
        </c:ser>
        <c:ser>
          <c:idx val="59"/>
          <c:order val="59"/>
          <c:tx>
            <c:strRef>
              <c:f>'03_Anti-Roll Bars (LM-FP1)'!$B$22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46D-4896-9210-1DEEA2D8D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(LM-Test)'!$C$2:$H$2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09-446C-A244-1925C22C19B3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(LM-Test)'!$B$9:$B$23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09-446C-A244-1925C22C1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(LM-Test)'!$B$9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1-4DF9-8A64-22401708D6EA}"/>
            </c:ext>
          </c:extLst>
        </c:ser>
        <c:ser>
          <c:idx val="1"/>
          <c:order val="1"/>
          <c:tx>
            <c:strRef>
              <c:f>'03_Anti-Roll Bars (LM-Test)'!$B$9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(LM-Test)'!$D$26:$F$26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1-4DF9-8A64-22401708D6EA}"/>
            </c:ext>
          </c:extLst>
        </c:ser>
        <c:ser>
          <c:idx val="2"/>
          <c:order val="2"/>
          <c:tx>
            <c:strRef>
              <c:f>'03_Anti-Roll Bars (LM-Test)'!$B$9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F1-4DF9-8A64-22401708D6EA}"/>
            </c:ext>
          </c:extLst>
        </c:ser>
        <c:ser>
          <c:idx val="3"/>
          <c:order val="3"/>
          <c:tx>
            <c:strRef>
              <c:f>'03_Anti-Roll Bars (LM-Test)'!$B$9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F1-4DF9-8A64-22401708D6EA}"/>
            </c:ext>
          </c:extLst>
        </c:ser>
        <c:ser>
          <c:idx val="4"/>
          <c:order val="4"/>
          <c:tx>
            <c:strRef>
              <c:f>'03_Anti-Roll Bars (LM-Test)'!$B$10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 (LM-Test)'!$C$27:$D$27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F1-4DF9-8A64-22401708D6EA}"/>
            </c:ext>
          </c:extLst>
        </c:ser>
        <c:ser>
          <c:idx val="5"/>
          <c:order val="5"/>
          <c:tx>
            <c:strRef>
              <c:f>'03_Anti-Roll Bars (LM-Test)'!$B$10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 (LM-Test)'!$D$27:$F$27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F1-4DF9-8A64-22401708D6EA}"/>
            </c:ext>
          </c:extLst>
        </c:ser>
        <c:ser>
          <c:idx val="6"/>
          <c:order val="6"/>
          <c:tx>
            <c:strRef>
              <c:f>'03_Anti-Roll Bars (LM-Test)'!$B$10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 (LM-Test)'!$F$27:$G$27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F1-4DF9-8A64-22401708D6EA}"/>
            </c:ext>
          </c:extLst>
        </c:ser>
        <c:ser>
          <c:idx val="7"/>
          <c:order val="7"/>
          <c:tx>
            <c:strRef>
              <c:f>'03_Anti-Roll Bars (LM-Test)'!$B$10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F1-4DF9-8A64-22401708D6EA}"/>
            </c:ext>
          </c:extLst>
        </c:ser>
        <c:ser>
          <c:idx val="8"/>
          <c:order val="8"/>
          <c:tx>
            <c:strRef>
              <c:f>'03_Anti-Roll Bars (LM-Test)'!$B$11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(LM-Test)'!$C$11:$D$11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F1-4DF9-8A64-22401708D6EA}"/>
            </c:ext>
          </c:extLst>
        </c:ser>
        <c:ser>
          <c:idx val="9"/>
          <c:order val="9"/>
          <c:tx>
            <c:strRef>
              <c:f>'03_Anti-Roll Bars (LM-Test)'!$B$11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(LM-Test)'!$D$11:$F$11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(LM-Test)'!$D$28:$F$28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F1-4DF9-8A64-22401708D6EA}"/>
            </c:ext>
          </c:extLst>
        </c:ser>
        <c:ser>
          <c:idx val="10"/>
          <c:order val="10"/>
          <c:tx>
            <c:strRef>
              <c:f>'03_Anti-Roll Bars (LM-Test)'!$B$11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(LM-Test)'!$F$11:$G$11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4F1-4DF9-8A64-22401708D6EA}"/>
            </c:ext>
          </c:extLst>
        </c:ser>
        <c:ser>
          <c:idx val="11"/>
          <c:order val="11"/>
          <c:tx>
            <c:strRef>
              <c:f>'03_Anti-Roll Bars (LM-Test)'!$B$11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(LM-Test)'!$G$11:$H$11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F1-4DF9-8A64-22401708D6EA}"/>
            </c:ext>
          </c:extLst>
        </c:ser>
        <c:ser>
          <c:idx val="12"/>
          <c:order val="12"/>
          <c:tx>
            <c:strRef>
              <c:f>'03_Anti-Roll Bars (LM-Test)'!$B$12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(LM-Test)'!$C$12:$D$12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 (LM-Test)'!$C$29:$D$29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F1-4DF9-8A64-22401708D6EA}"/>
            </c:ext>
          </c:extLst>
        </c:ser>
        <c:ser>
          <c:idx val="13"/>
          <c:order val="13"/>
          <c:tx>
            <c:strRef>
              <c:f>'03_Anti-Roll Bars (LM-Test)'!$B$12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(LM-Test)'!$D$12:$F$12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 (LM-Test)'!$D$29:$F$29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4F1-4DF9-8A64-22401708D6EA}"/>
            </c:ext>
          </c:extLst>
        </c:ser>
        <c:ser>
          <c:idx val="14"/>
          <c:order val="14"/>
          <c:tx>
            <c:strRef>
              <c:f>'03_Anti-Roll Bars (LM-Test)'!$B$12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(LM-Test)'!$F$12:$G$12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 (LM-Test)'!$F$29:$G$29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4F1-4DF9-8A64-22401708D6EA}"/>
            </c:ext>
          </c:extLst>
        </c:ser>
        <c:ser>
          <c:idx val="15"/>
          <c:order val="15"/>
          <c:tx>
            <c:strRef>
              <c:f>'03_Anti-Roll Bars (LM-Test)'!$B$12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(LM-Test)'!$G$12:$H$12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4F1-4DF9-8A64-22401708D6EA}"/>
            </c:ext>
          </c:extLst>
        </c:ser>
        <c:ser>
          <c:idx val="16"/>
          <c:order val="16"/>
          <c:tx>
            <c:strRef>
              <c:f>'03_Anti-Roll Bars (LM-Test)'!$B$13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 (LM-Test)'!$C$30:$D$30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4F1-4DF9-8A64-22401708D6EA}"/>
            </c:ext>
          </c:extLst>
        </c:ser>
        <c:ser>
          <c:idx val="17"/>
          <c:order val="17"/>
          <c:tx>
            <c:strRef>
              <c:f>'03_Anti-Roll Bars (LM-Test)'!$B$13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 (LM-Test)'!$D$30:$F$30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4F1-4DF9-8A64-22401708D6EA}"/>
            </c:ext>
          </c:extLst>
        </c:ser>
        <c:ser>
          <c:idx val="18"/>
          <c:order val="18"/>
          <c:tx>
            <c:strRef>
              <c:f>'03_Anti-Roll Bars (LM-Test)'!$B$13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 (LM-Test)'!$F$30:$G$30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4F1-4DF9-8A64-22401708D6EA}"/>
            </c:ext>
          </c:extLst>
        </c:ser>
        <c:ser>
          <c:idx val="19"/>
          <c:order val="19"/>
          <c:tx>
            <c:strRef>
              <c:f>'03_Anti-Roll Bars (LM-Test)'!$B$13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4F1-4DF9-8A64-22401708D6EA}"/>
            </c:ext>
          </c:extLst>
        </c:ser>
        <c:ser>
          <c:idx val="20"/>
          <c:order val="20"/>
          <c:tx>
            <c:strRef>
              <c:f>'03_Anti-Roll Bars (LM-Test)'!$B$14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(LM-Test)'!$C$14:$D$14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 (LM-Test)'!$C$31:$D$31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4F1-4DF9-8A64-22401708D6EA}"/>
            </c:ext>
          </c:extLst>
        </c:ser>
        <c:ser>
          <c:idx val="21"/>
          <c:order val="21"/>
          <c:tx>
            <c:strRef>
              <c:f>'03_Anti-Roll Bars (LM-Test)'!$B$14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(LM-Test)'!$D$14:$F$14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 (LM-Test)'!$D$31:$F$31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4F1-4DF9-8A64-22401708D6EA}"/>
            </c:ext>
          </c:extLst>
        </c:ser>
        <c:ser>
          <c:idx val="22"/>
          <c:order val="22"/>
          <c:tx>
            <c:strRef>
              <c:f>'03_Anti-Roll Bars (LM-Test)'!$B$14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(LM-Test)'!$F$14:$G$14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 (LM-Test)'!$F$31:$G$31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4F1-4DF9-8A64-22401708D6EA}"/>
            </c:ext>
          </c:extLst>
        </c:ser>
        <c:ser>
          <c:idx val="23"/>
          <c:order val="23"/>
          <c:tx>
            <c:strRef>
              <c:f>'03_Anti-Roll Bars (LM-Test)'!$B$14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(LM-Test)'!$G$14:$H$14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4F1-4DF9-8A64-22401708D6EA}"/>
            </c:ext>
          </c:extLst>
        </c:ser>
        <c:ser>
          <c:idx val="24"/>
          <c:order val="24"/>
          <c:tx>
            <c:strRef>
              <c:f>'03_Anti-Roll Bars (LM-Test)'!$B$15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4F1-4DF9-8A64-22401708D6EA}"/>
            </c:ext>
          </c:extLst>
        </c:ser>
        <c:ser>
          <c:idx val="25"/>
          <c:order val="25"/>
          <c:tx>
            <c:strRef>
              <c:f>'03_Anti-Roll Bars (LM-Test)'!$B$15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(LM-Test)'!$D$32:$F$32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4F1-4DF9-8A64-22401708D6EA}"/>
            </c:ext>
          </c:extLst>
        </c:ser>
        <c:ser>
          <c:idx val="26"/>
          <c:order val="26"/>
          <c:tx>
            <c:strRef>
              <c:f>'03_Anti-Roll Bars (LM-Test)'!$B$15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4F1-4DF9-8A64-22401708D6EA}"/>
            </c:ext>
          </c:extLst>
        </c:ser>
        <c:ser>
          <c:idx val="27"/>
          <c:order val="27"/>
          <c:tx>
            <c:strRef>
              <c:f>'03_Anti-Roll Bars (LM-Test)'!$B$15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4F1-4DF9-8A64-22401708D6EA}"/>
            </c:ext>
          </c:extLst>
        </c:ser>
        <c:ser>
          <c:idx val="28"/>
          <c:order val="28"/>
          <c:tx>
            <c:strRef>
              <c:f>'03_Anti-Roll Bars (LM-Test)'!$B$16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 (LM-Test)'!$C$33:$D$33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94F1-4DF9-8A64-22401708D6EA}"/>
            </c:ext>
          </c:extLst>
        </c:ser>
        <c:ser>
          <c:idx val="29"/>
          <c:order val="29"/>
          <c:tx>
            <c:strRef>
              <c:f>'03_Anti-Roll Bars (LM-Test)'!$B$16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 (LM-Test)'!$D$33:$F$33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94F1-4DF9-8A64-22401708D6EA}"/>
            </c:ext>
          </c:extLst>
        </c:ser>
        <c:ser>
          <c:idx val="30"/>
          <c:order val="30"/>
          <c:tx>
            <c:strRef>
              <c:f>'03_Anti-Roll Bars (LM-Test)'!$B$16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 (LM-Test)'!$F$33:$G$33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94F1-4DF9-8A64-22401708D6EA}"/>
            </c:ext>
          </c:extLst>
        </c:ser>
        <c:ser>
          <c:idx val="31"/>
          <c:order val="31"/>
          <c:tx>
            <c:strRef>
              <c:f>'03_Anti-Roll Bars (LM-Test)'!$B$16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94F1-4DF9-8A64-22401708D6EA}"/>
            </c:ext>
          </c:extLst>
        </c:ser>
        <c:ser>
          <c:idx val="32"/>
          <c:order val="32"/>
          <c:tx>
            <c:strRef>
              <c:f>'03_Anti-Roll Bars (LM-Test)'!$B$17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 (LM-Test)'!$C$34:$D$34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94F1-4DF9-8A64-22401708D6EA}"/>
            </c:ext>
          </c:extLst>
        </c:ser>
        <c:ser>
          <c:idx val="33"/>
          <c:order val="33"/>
          <c:tx>
            <c:strRef>
              <c:f>'03_Anti-Roll Bars (LM-Test)'!$B$17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 (LM-Test)'!$D$34:$F$34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94F1-4DF9-8A64-22401708D6EA}"/>
            </c:ext>
          </c:extLst>
        </c:ser>
        <c:ser>
          <c:idx val="34"/>
          <c:order val="34"/>
          <c:tx>
            <c:strRef>
              <c:f>'03_Anti-Roll Bars (LM-Test)'!$B$17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 (LM-Test)'!$F$34:$G$34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94F1-4DF9-8A64-22401708D6EA}"/>
            </c:ext>
          </c:extLst>
        </c:ser>
        <c:ser>
          <c:idx val="35"/>
          <c:order val="35"/>
          <c:tx>
            <c:strRef>
              <c:f>'03_Anti-Roll Bars (LM-Test)'!$B$17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94F1-4DF9-8A64-22401708D6EA}"/>
            </c:ext>
          </c:extLst>
        </c:ser>
        <c:ser>
          <c:idx val="36"/>
          <c:order val="36"/>
          <c:tx>
            <c:strRef>
              <c:f>'03_Anti-Roll Bars (LM-Test)'!$B$18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(LM-Test)'!$C$18:$D$18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 (LM-Test)'!$C$35:$D$35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94F1-4DF9-8A64-22401708D6EA}"/>
            </c:ext>
          </c:extLst>
        </c:ser>
        <c:ser>
          <c:idx val="37"/>
          <c:order val="37"/>
          <c:tx>
            <c:strRef>
              <c:f>'03_Anti-Roll Bars (LM-Test)'!$B$18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(LM-Test)'!$D$18:$F$18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 (LM-Test)'!$D$35:$F$35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94F1-4DF9-8A64-22401708D6EA}"/>
            </c:ext>
          </c:extLst>
        </c:ser>
        <c:ser>
          <c:idx val="38"/>
          <c:order val="38"/>
          <c:tx>
            <c:strRef>
              <c:f>'03_Anti-Roll Bars (LM-Test)'!$B$18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(LM-Test)'!$F$18:$G$18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 (LM-Test)'!$F$35:$G$35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94F1-4DF9-8A64-22401708D6EA}"/>
            </c:ext>
          </c:extLst>
        </c:ser>
        <c:ser>
          <c:idx val="39"/>
          <c:order val="39"/>
          <c:tx>
            <c:strRef>
              <c:f>'03_Anti-Roll Bars (LM-Test)'!$B$18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(LM-Test)'!$G$18:$H$18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94F1-4DF9-8A64-22401708D6EA}"/>
            </c:ext>
          </c:extLst>
        </c:ser>
        <c:ser>
          <c:idx val="40"/>
          <c:order val="40"/>
          <c:tx>
            <c:strRef>
              <c:f>'03_Anti-Roll Bars (LM-Test)'!$B$23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 (LM-Test)'!$C$40:$D$40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94F1-4DF9-8A64-22401708D6EA}"/>
            </c:ext>
          </c:extLst>
        </c:ser>
        <c:ser>
          <c:idx val="41"/>
          <c:order val="41"/>
          <c:tx>
            <c:strRef>
              <c:f>'03_Anti-Roll Bars (LM-Test)'!$B$23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 (LM-Test)'!$D$40:$F$40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94F1-4DF9-8A64-22401708D6EA}"/>
            </c:ext>
          </c:extLst>
        </c:ser>
        <c:ser>
          <c:idx val="42"/>
          <c:order val="42"/>
          <c:tx>
            <c:strRef>
              <c:f>'03_Anti-Roll Bars (LM-Test)'!$B$23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 (LM-Test)'!$F$40:$G$40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94F1-4DF9-8A64-22401708D6EA}"/>
            </c:ext>
          </c:extLst>
        </c:ser>
        <c:ser>
          <c:idx val="43"/>
          <c:order val="43"/>
          <c:tx>
            <c:strRef>
              <c:f>'03_Anti-Roll Bars (LM-Test)'!$B$23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94F1-4DF9-8A64-22401708D6EA}"/>
            </c:ext>
          </c:extLst>
        </c:ser>
        <c:ser>
          <c:idx val="44"/>
          <c:order val="44"/>
          <c:tx>
            <c:strRef>
              <c:f>'03_Anti-Roll Bars (LM-Test)'!$B$19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94F1-4DF9-8A64-22401708D6EA}"/>
            </c:ext>
          </c:extLst>
        </c:ser>
        <c:ser>
          <c:idx val="45"/>
          <c:order val="45"/>
          <c:tx>
            <c:strRef>
              <c:f>'03_Anti-Roll Bars (LM-Test)'!$B$19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(LM-Test)'!$D$36:$F$36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94F1-4DF9-8A64-22401708D6EA}"/>
            </c:ext>
          </c:extLst>
        </c:ser>
        <c:ser>
          <c:idx val="46"/>
          <c:order val="46"/>
          <c:tx>
            <c:strRef>
              <c:f>'03_Anti-Roll Bars (LM-Test)'!$B$19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94F1-4DF9-8A64-22401708D6EA}"/>
            </c:ext>
          </c:extLst>
        </c:ser>
        <c:ser>
          <c:idx val="47"/>
          <c:order val="47"/>
          <c:tx>
            <c:strRef>
              <c:f>'03_Anti-Roll Bars (LM-Test)'!$B$19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94F1-4DF9-8A64-22401708D6EA}"/>
            </c:ext>
          </c:extLst>
        </c:ser>
        <c:ser>
          <c:idx val="48"/>
          <c:order val="48"/>
          <c:tx>
            <c:strRef>
              <c:f>'03_Anti-Roll Bars (LM-Test)'!$B$20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 (LM-Test)'!$C$37:$D$37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94F1-4DF9-8A64-22401708D6EA}"/>
            </c:ext>
          </c:extLst>
        </c:ser>
        <c:ser>
          <c:idx val="49"/>
          <c:order val="49"/>
          <c:tx>
            <c:strRef>
              <c:f>'03_Anti-Roll Bars (LM-Test)'!$B$20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 (LM-Test)'!$D$37:$F$37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94F1-4DF9-8A64-22401708D6EA}"/>
            </c:ext>
          </c:extLst>
        </c:ser>
        <c:ser>
          <c:idx val="50"/>
          <c:order val="50"/>
          <c:tx>
            <c:strRef>
              <c:f>'03_Anti-Roll Bars (LM-Test)'!$B$20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 (LM-Test)'!$F$37:$G$37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94F1-4DF9-8A64-22401708D6EA}"/>
            </c:ext>
          </c:extLst>
        </c:ser>
        <c:ser>
          <c:idx val="51"/>
          <c:order val="51"/>
          <c:tx>
            <c:strRef>
              <c:f>'03_Anti-Roll Bars (LM-Test)'!$B$20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94F1-4DF9-8A64-22401708D6EA}"/>
            </c:ext>
          </c:extLst>
        </c:ser>
        <c:ser>
          <c:idx val="52"/>
          <c:order val="52"/>
          <c:tx>
            <c:strRef>
              <c:f>'03_Anti-Roll Bars (LM-Test)'!$B$21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 (LM-Test)'!$C$38:$D$38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94F1-4DF9-8A64-22401708D6EA}"/>
            </c:ext>
          </c:extLst>
        </c:ser>
        <c:ser>
          <c:idx val="53"/>
          <c:order val="53"/>
          <c:tx>
            <c:strRef>
              <c:f>'03_Anti-Roll Bars (LM-Test)'!$B$21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 (LM-Test)'!$D$38:$F$38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94F1-4DF9-8A64-22401708D6EA}"/>
            </c:ext>
          </c:extLst>
        </c:ser>
        <c:ser>
          <c:idx val="54"/>
          <c:order val="54"/>
          <c:tx>
            <c:strRef>
              <c:f>'03_Anti-Roll Bars (LM-Test)'!$B$21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 (LM-Test)'!$F$38:$G$38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94F1-4DF9-8A64-22401708D6EA}"/>
            </c:ext>
          </c:extLst>
        </c:ser>
        <c:ser>
          <c:idx val="55"/>
          <c:order val="55"/>
          <c:tx>
            <c:strRef>
              <c:f>'03_Anti-Roll Bars (LM-Test)'!$B$21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94F1-4DF9-8A64-22401708D6EA}"/>
            </c:ext>
          </c:extLst>
        </c:ser>
        <c:ser>
          <c:idx val="56"/>
          <c:order val="56"/>
          <c:tx>
            <c:strRef>
              <c:f>'03_Anti-Roll Bars (LM-Test)'!$B$22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 (LM-Test)'!$C$39:$D$39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94F1-4DF9-8A64-22401708D6EA}"/>
            </c:ext>
          </c:extLst>
        </c:ser>
        <c:ser>
          <c:idx val="57"/>
          <c:order val="57"/>
          <c:tx>
            <c:strRef>
              <c:f>'03_Anti-Roll Bars (LM-Test)'!$B$22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 (LM-Test)'!$D$39:$F$39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94F1-4DF9-8A64-22401708D6EA}"/>
            </c:ext>
          </c:extLst>
        </c:ser>
        <c:ser>
          <c:idx val="58"/>
          <c:order val="58"/>
          <c:tx>
            <c:strRef>
              <c:f>'03_Anti-Roll Bars (LM-Test)'!$B$22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 (LM-Test)'!$F$39:$G$39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94F1-4DF9-8A64-22401708D6EA}"/>
            </c:ext>
          </c:extLst>
        </c:ser>
        <c:ser>
          <c:idx val="59"/>
          <c:order val="59"/>
          <c:tx>
            <c:strRef>
              <c:f>'03_Anti-Roll Bars (LM-Test)'!$B$22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94F1-4DF9-8A64-22401708D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(MNZ)'!$C$2:$H$2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82-47AD-AC98-ECFA9386BC7D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(MNZ)'!$B$9:$B$23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82-47AD-AC98-ECFA9386B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C1-4F7A-ABFA-D0E9E50D0E2A}"/>
            </c:ext>
          </c:extLst>
        </c:ser>
        <c:ser>
          <c:idx val="1"/>
          <c:order val="1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C1-4F7A-ABFA-D0E9E50D0E2A}"/>
            </c:ext>
          </c:extLst>
        </c:ser>
        <c:ser>
          <c:idx val="2"/>
          <c:order val="2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C1-4F7A-ABFA-D0E9E50D0E2A}"/>
            </c:ext>
          </c:extLst>
        </c:ser>
        <c:ser>
          <c:idx val="3"/>
          <c:order val="3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C1-4F7A-ABFA-D0E9E50D0E2A}"/>
            </c:ext>
          </c:extLst>
        </c:ser>
        <c:ser>
          <c:idx val="4"/>
          <c:order val="4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(MNZ)'!$C$27:$D$27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7C1-4F7A-ABFA-D0E9E50D0E2A}"/>
            </c:ext>
          </c:extLst>
        </c:ser>
        <c:ser>
          <c:idx val="5"/>
          <c:order val="5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(MNZ)'!$D$27:$F$27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7C1-4F7A-ABFA-D0E9E50D0E2A}"/>
            </c:ext>
          </c:extLst>
        </c:ser>
        <c:ser>
          <c:idx val="6"/>
          <c:order val="6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(MNZ)'!$F$27:$G$27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7C1-4F7A-ABFA-D0E9E50D0E2A}"/>
            </c:ext>
          </c:extLst>
        </c:ser>
        <c:ser>
          <c:idx val="7"/>
          <c:order val="7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7C1-4F7A-ABFA-D0E9E50D0E2A}"/>
            </c:ext>
          </c:extLst>
        </c:ser>
        <c:ser>
          <c:idx val="8"/>
          <c:order val="8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(MNZ)'!$C$11:$D$11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7C1-4F7A-ABFA-D0E9E50D0E2A}"/>
            </c:ext>
          </c:extLst>
        </c:ser>
        <c:ser>
          <c:idx val="9"/>
          <c:order val="9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(MNZ)'!$D$11:$F$11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7C1-4F7A-ABFA-D0E9E50D0E2A}"/>
            </c:ext>
          </c:extLst>
        </c:ser>
        <c:ser>
          <c:idx val="10"/>
          <c:order val="10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(MNZ)'!$F$11:$G$11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7C1-4F7A-ABFA-D0E9E50D0E2A}"/>
            </c:ext>
          </c:extLst>
        </c:ser>
        <c:ser>
          <c:idx val="11"/>
          <c:order val="11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(MNZ)'!$G$11:$H$11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7C1-4F7A-ABFA-D0E9E50D0E2A}"/>
            </c:ext>
          </c:extLst>
        </c:ser>
        <c:ser>
          <c:idx val="12"/>
          <c:order val="12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(MNZ)'!$C$12:$D$12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(MNZ)'!$C$29:$D$29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7C1-4F7A-ABFA-D0E9E50D0E2A}"/>
            </c:ext>
          </c:extLst>
        </c:ser>
        <c:ser>
          <c:idx val="13"/>
          <c:order val="13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(MNZ)'!$D$12:$F$12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(MNZ)'!$D$29:$F$29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7C1-4F7A-ABFA-D0E9E50D0E2A}"/>
            </c:ext>
          </c:extLst>
        </c:ser>
        <c:ser>
          <c:idx val="14"/>
          <c:order val="14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(MNZ)'!$F$12:$G$12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(MNZ)'!$F$29:$G$29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7C1-4F7A-ABFA-D0E9E50D0E2A}"/>
            </c:ext>
          </c:extLst>
        </c:ser>
        <c:ser>
          <c:idx val="15"/>
          <c:order val="15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(MNZ)'!$G$12:$H$12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7C1-4F7A-ABFA-D0E9E50D0E2A}"/>
            </c:ext>
          </c:extLst>
        </c:ser>
        <c:ser>
          <c:idx val="16"/>
          <c:order val="16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(MNZ)'!$C$30:$D$30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7C1-4F7A-ABFA-D0E9E50D0E2A}"/>
            </c:ext>
          </c:extLst>
        </c:ser>
        <c:ser>
          <c:idx val="17"/>
          <c:order val="17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(MNZ)'!$D$30:$F$30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7C1-4F7A-ABFA-D0E9E50D0E2A}"/>
            </c:ext>
          </c:extLst>
        </c:ser>
        <c:ser>
          <c:idx val="18"/>
          <c:order val="18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(MNZ)'!$F$30:$G$30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7C1-4F7A-ABFA-D0E9E50D0E2A}"/>
            </c:ext>
          </c:extLst>
        </c:ser>
        <c:ser>
          <c:idx val="19"/>
          <c:order val="19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7C1-4F7A-ABFA-D0E9E50D0E2A}"/>
            </c:ext>
          </c:extLst>
        </c:ser>
        <c:ser>
          <c:idx val="20"/>
          <c:order val="20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(MNZ)'!$C$14:$D$14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(MNZ)'!$C$31:$D$31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7C1-4F7A-ABFA-D0E9E50D0E2A}"/>
            </c:ext>
          </c:extLst>
        </c:ser>
        <c:ser>
          <c:idx val="21"/>
          <c:order val="21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(MNZ)'!$D$14:$F$14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(MNZ)'!$D$31:$F$31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7C1-4F7A-ABFA-D0E9E50D0E2A}"/>
            </c:ext>
          </c:extLst>
        </c:ser>
        <c:ser>
          <c:idx val="22"/>
          <c:order val="22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(MNZ)'!$F$14:$G$14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(MNZ)'!$F$31:$G$31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7C1-4F7A-ABFA-D0E9E50D0E2A}"/>
            </c:ext>
          </c:extLst>
        </c:ser>
        <c:ser>
          <c:idx val="23"/>
          <c:order val="23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(MNZ)'!$G$14:$H$14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7C1-4F7A-ABFA-D0E9E50D0E2A}"/>
            </c:ext>
          </c:extLst>
        </c:ser>
        <c:ser>
          <c:idx val="24"/>
          <c:order val="24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7C1-4F7A-ABFA-D0E9E50D0E2A}"/>
            </c:ext>
          </c:extLst>
        </c:ser>
        <c:ser>
          <c:idx val="25"/>
          <c:order val="25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7C1-4F7A-ABFA-D0E9E50D0E2A}"/>
            </c:ext>
          </c:extLst>
        </c:ser>
        <c:ser>
          <c:idx val="26"/>
          <c:order val="26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7C1-4F7A-ABFA-D0E9E50D0E2A}"/>
            </c:ext>
          </c:extLst>
        </c:ser>
        <c:ser>
          <c:idx val="27"/>
          <c:order val="27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7C1-4F7A-ABFA-D0E9E50D0E2A}"/>
            </c:ext>
          </c:extLst>
        </c:ser>
        <c:ser>
          <c:idx val="28"/>
          <c:order val="28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(MNZ)'!$C$33:$D$33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97C1-4F7A-ABFA-D0E9E50D0E2A}"/>
            </c:ext>
          </c:extLst>
        </c:ser>
        <c:ser>
          <c:idx val="29"/>
          <c:order val="29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(MNZ)'!$D$33:$F$33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97C1-4F7A-ABFA-D0E9E50D0E2A}"/>
            </c:ext>
          </c:extLst>
        </c:ser>
        <c:ser>
          <c:idx val="30"/>
          <c:order val="30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(MNZ)'!$F$33:$G$33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97C1-4F7A-ABFA-D0E9E50D0E2A}"/>
            </c:ext>
          </c:extLst>
        </c:ser>
        <c:ser>
          <c:idx val="31"/>
          <c:order val="31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97C1-4F7A-ABFA-D0E9E50D0E2A}"/>
            </c:ext>
          </c:extLst>
        </c:ser>
        <c:ser>
          <c:idx val="32"/>
          <c:order val="32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(MNZ)'!$C$34:$D$34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97C1-4F7A-ABFA-D0E9E50D0E2A}"/>
            </c:ext>
          </c:extLst>
        </c:ser>
        <c:ser>
          <c:idx val="33"/>
          <c:order val="33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(MNZ)'!$D$34:$F$34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97C1-4F7A-ABFA-D0E9E50D0E2A}"/>
            </c:ext>
          </c:extLst>
        </c:ser>
        <c:ser>
          <c:idx val="34"/>
          <c:order val="34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(MNZ)'!$F$34:$G$34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97C1-4F7A-ABFA-D0E9E50D0E2A}"/>
            </c:ext>
          </c:extLst>
        </c:ser>
        <c:ser>
          <c:idx val="35"/>
          <c:order val="35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97C1-4F7A-ABFA-D0E9E50D0E2A}"/>
            </c:ext>
          </c:extLst>
        </c:ser>
        <c:ser>
          <c:idx val="36"/>
          <c:order val="36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(MNZ)'!$C$18:$D$18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(MNZ)'!$C$35:$D$35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97C1-4F7A-ABFA-D0E9E50D0E2A}"/>
            </c:ext>
          </c:extLst>
        </c:ser>
        <c:ser>
          <c:idx val="37"/>
          <c:order val="37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(MNZ)'!$D$18:$F$18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(MNZ)'!$D$35:$F$35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97C1-4F7A-ABFA-D0E9E50D0E2A}"/>
            </c:ext>
          </c:extLst>
        </c:ser>
        <c:ser>
          <c:idx val="38"/>
          <c:order val="38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(MNZ)'!$F$18:$G$18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(MNZ)'!$F$35:$G$35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97C1-4F7A-ABFA-D0E9E50D0E2A}"/>
            </c:ext>
          </c:extLst>
        </c:ser>
        <c:ser>
          <c:idx val="39"/>
          <c:order val="39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(MNZ)'!$G$18:$H$18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97C1-4F7A-ABFA-D0E9E50D0E2A}"/>
            </c:ext>
          </c:extLst>
        </c:ser>
        <c:ser>
          <c:idx val="40"/>
          <c:order val="40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(MNZ)'!$C$40:$D$40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97C1-4F7A-ABFA-D0E9E50D0E2A}"/>
            </c:ext>
          </c:extLst>
        </c:ser>
        <c:ser>
          <c:idx val="41"/>
          <c:order val="41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(MNZ)'!$D$40:$F$40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97C1-4F7A-ABFA-D0E9E50D0E2A}"/>
            </c:ext>
          </c:extLst>
        </c:ser>
        <c:ser>
          <c:idx val="42"/>
          <c:order val="42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(MNZ)'!$F$40:$G$40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97C1-4F7A-ABFA-D0E9E50D0E2A}"/>
            </c:ext>
          </c:extLst>
        </c:ser>
        <c:ser>
          <c:idx val="43"/>
          <c:order val="43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97C1-4F7A-ABFA-D0E9E50D0E2A}"/>
            </c:ext>
          </c:extLst>
        </c:ser>
        <c:ser>
          <c:idx val="44"/>
          <c:order val="44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97C1-4F7A-ABFA-D0E9E50D0E2A}"/>
            </c:ext>
          </c:extLst>
        </c:ser>
        <c:ser>
          <c:idx val="45"/>
          <c:order val="45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97C1-4F7A-ABFA-D0E9E50D0E2A}"/>
            </c:ext>
          </c:extLst>
        </c:ser>
        <c:ser>
          <c:idx val="46"/>
          <c:order val="46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97C1-4F7A-ABFA-D0E9E50D0E2A}"/>
            </c:ext>
          </c:extLst>
        </c:ser>
        <c:ser>
          <c:idx val="47"/>
          <c:order val="47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97C1-4F7A-ABFA-D0E9E50D0E2A}"/>
            </c:ext>
          </c:extLst>
        </c:ser>
        <c:ser>
          <c:idx val="48"/>
          <c:order val="48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(MNZ)'!$C$37:$D$37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97C1-4F7A-ABFA-D0E9E50D0E2A}"/>
            </c:ext>
          </c:extLst>
        </c:ser>
        <c:ser>
          <c:idx val="49"/>
          <c:order val="49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(MNZ)'!$D$37:$F$37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97C1-4F7A-ABFA-D0E9E50D0E2A}"/>
            </c:ext>
          </c:extLst>
        </c:ser>
        <c:ser>
          <c:idx val="50"/>
          <c:order val="50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(MNZ)'!$F$37:$G$37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97C1-4F7A-ABFA-D0E9E50D0E2A}"/>
            </c:ext>
          </c:extLst>
        </c:ser>
        <c:ser>
          <c:idx val="51"/>
          <c:order val="51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97C1-4F7A-ABFA-D0E9E50D0E2A}"/>
            </c:ext>
          </c:extLst>
        </c:ser>
        <c:ser>
          <c:idx val="52"/>
          <c:order val="52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(MNZ)'!$C$38:$D$38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97C1-4F7A-ABFA-D0E9E50D0E2A}"/>
            </c:ext>
          </c:extLst>
        </c:ser>
        <c:ser>
          <c:idx val="53"/>
          <c:order val="53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(MNZ)'!$D$38:$F$38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97C1-4F7A-ABFA-D0E9E50D0E2A}"/>
            </c:ext>
          </c:extLst>
        </c:ser>
        <c:ser>
          <c:idx val="54"/>
          <c:order val="54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(MNZ)'!$F$38:$G$38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97C1-4F7A-ABFA-D0E9E50D0E2A}"/>
            </c:ext>
          </c:extLst>
        </c:ser>
        <c:ser>
          <c:idx val="55"/>
          <c:order val="55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97C1-4F7A-ABFA-D0E9E50D0E2A}"/>
            </c:ext>
          </c:extLst>
        </c:ser>
        <c:ser>
          <c:idx val="56"/>
          <c:order val="56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(MNZ)'!$C$39:$D$39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97C1-4F7A-ABFA-D0E9E50D0E2A}"/>
            </c:ext>
          </c:extLst>
        </c:ser>
        <c:ser>
          <c:idx val="57"/>
          <c:order val="57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(MNZ)'!$D$39:$F$39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97C1-4F7A-ABFA-D0E9E50D0E2A}"/>
            </c:ext>
          </c:extLst>
        </c:ser>
        <c:ser>
          <c:idx val="58"/>
          <c:order val="58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(MNZ)'!$F$39:$G$39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97C1-4F7A-ABFA-D0E9E50D0E2A}"/>
            </c:ext>
          </c:extLst>
        </c:ser>
        <c:ser>
          <c:idx val="59"/>
          <c:order val="59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97C1-4F7A-ABFA-D0E9E50D0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 (2)'!$C$2:$H$2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1-44D1-AB4E-30DF21CAF3D7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 (2)'!$B$9:$B$23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61-44D1-AB4E-30DF21CAF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CF-43F8-A182-26966EB29CAA}"/>
            </c:ext>
          </c:extLst>
        </c:ser>
        <c:ser>
          <c:idx val="1"/>
          <c:order val="1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CF-43F8-A182-26966EB29CAA}"/>
            </c:ext>
          </c:extLst>
        </c:ser>
        <c:ser>
          <c:idx val="2"/>
          <c:order val="2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CF-43F8-A182-26966EB29CAA}"/>
            </c:ext>
          </c:extLst>
        </c:ser>
        <c:ser>
          <c:idx val="3"/>
          <c:order val="3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CF-43F8-A182-26966EB29CAA}"/>
            </c:ext>
          </c:extLst>
        </c:ser>
        <c:ser>
          <c:idx val="4"/>
          <c:order val="4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(2)'!$C$10:$D$10</c:f>
              <c:numCache>
                <c:formatCode>0.000</c:formatCode>
                <c:ptCount val="2"/>
                <c:pt idx="0">
                  <c:v>0.2891431268307923</c:v>
                </c:pt>
                <c:pt idx="1">
                  <c:v>0.31536863976280438</c:v>
                </c:pt>
              </c:numCache>
            </c:numRef>
          </c:xVal>
          <c:yVal>
            <c:numRef>
              <c:f>'03_Anti-Roll Bars (POR) (2)'!$C$27:$D$27</c:f>
              <c:numCache>
                <c:formatCode>0.0%</c:formatCode>
                <c:ptCount val="2"/>
                <c:pt idx="0">
                  <c:v>0.56794583566856582</c:v>
                </c:pt>
                <c:pt idx="1">
                  <c:v>0.52875817729951669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CF-43F8-A182-26966EB29CAA}"/>
            </c:ext>
          </c:extLst>
        </c:ser>
        <c:ser>
          <c:idx val="5"/>
          <c:order val="5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(2)'!$D$10:$F$10</c:f>
              <c:numCache>
                <c:formatCode>0.000</c:formatCode>
                <c:ptCount val="3"/>
                <c:pt idx="0">
                  <c:v>0.31536863976280438</c:v>
                </c:pt>
                <c:pt idx="1">
                  <c:v>0.32649612204873801</c:v>
                </c:pt>
                <c:pt idx="2">
                  <c:v>0.33838766515329843</c:v>
                </c:pt>
              </c:numCache>
            </c:numRef>
          </c:xVal>
          <c:yVal>
            <c:numRef>
              <c:f>'03_Anti-Roll Bars (POR) (2)'!$D$27:$F$27</c:f>
              <c:numCache>
                <c:formatCode>0.0%</c:formatCode>
                <c:ptCount val="3"/>
                <c:pt idx="0">
                  <c:v>0.52875817729951669</c:v>
                </c:pt>
                <c:pt idx="1">
                  <c:v>0.51213085811383408</c:v>
                </c:pt>
                <c:pt idx="2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CF-43F8-A182-26966EB29CAA}"/>
            </c:ext>
          </c:extLst>
        </c:ser>
        <c:ser>
          <c:idx val="6"/>
          <c:order val="6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(2)'!$F$10:$G$10</c:f>
              <c:numCache>
                <c:formatCode>0.000</c:formatCode>
                <c:ptCount val="2"/>
                <c:pt idx="0">
                  <c:v>0.33838766515329843</c:v>
                </c:pt>
              </c:numCache>
            </c:numRef>
          </c:xVal>
          <c:yVal>
            <c:numRef>
              <c:f>'03_Anti-Roll Bars (POR) (2)'!$F$27:$G$27</c:f>
              <c:numCache>
                <c:formatCode>0.0%</c:formatCode>
                <c:ptCount val="2"/>
                <c:pt idx="0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8CF-43F8-A182-26966EB29CAA}"/>
            </c:ext>
          </c:extLst>
        </c:ser>
        <c:ser>
          <c:idx val="7"/>
          <c:order val="7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CF-43F8-A182-26966EB29CAA}"/>
            </c:ext>
          </c:extLst>
        </c:ser>
        <c:ser>
          <c:idx val="8"/>
          <c:order val="8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 (2)'!$C$11:$D$11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8CF-43F8-A182-26966EB29CAA}"/>
            </c:ext>
          </c:extLst>
        </c:ser>
        <c:ser>
          <c:idx val="9"/>
          <c:order val="9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8CF-43F8-A182-26966EB29CAA}"/>
            </c:ext>
          </c:extLst>
        </c:ser>
        <c:ser>
          <c:idx val="10"/>
          <c:order val="10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8CF-43F8-A182-26966EB29CAA}"/>
            </c:ext>
          </c:extLst>
        </c:ser>
        <c:ser>
          <c:idx val="11"/>
          <c:order val="11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8CF-43F8-A182-26966EB29CAA}"/>
            </c:ext>
          </c:extLst>
        </c:ser>
        <c:ser>
          <c:idx val="12"/>
          <c:order val="12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(2)'!$C$12:$D$12</c:f>
              <c:numCache>
                <c:formatCode>0.000</c:formatCode>
                <c:ptCount val="2"/>
                <c:pt idx="0">
                  <c:v>0.29533543847899169</c:v>
                </c:pt>
                <c:pt idx="1">
                  <c:v>0.32274952558214742</c:v>
                </c:pt>
              </c:numCache>
            </c:numRef>
          </c:xVal>
          <c:yVal>
            <c:numRef>
              <c:f>'03_Anti-Roll Bars (POR) (2)'!$C$29:$D$29</c:f>
              <c:numCache>
                <c:formatCode>0.0%</c:formatCode>
                <c:ptCount val="2"/>
                <c:pt idx="0">
                  <c:v>0.58010900777057783</c:v>
                </c:pt>
                <c:pt idx="1">
                  <c:v>0.54113323062005925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8CF-43F8-A182-26966EB29CAA}"/>
            </c:ext>
          </c:extLst>
        </c:ser>
        <c:ser>
          <c:idx val="13"/>
          <c:order val="13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(2)'!$D$12:$F$12</c:f>
              <c:numCache>
                <c:formatCode>0.000</c:formatCode>
                <c:ptCount val="3"/>
                <c:pt idx="0">
                  <c:v>0.32274952558214742</c:v>
                </c:pt>
                <c:pt idx="1">
                  <c:v>0.33441359001498699</c:v>
                </c:pt>
                <c:pt idx="2">
                  <c:v>0.34689988936940302</c:v>
                </c:pt>
              </c:numCache>
            </c:numRef>
          </c:xVal>
          <c:yVal>
            <c:numRef>
              <c:f>'03_Anti-Roll Bars (POR) (2)'!$D$29:$F$29</c:f>
              <c:numCache>
                <c:formatCode>0.0%</c:formatCode>
                <c:ptCount val="3"/>
                <c:pt idx="0">
                  <c:v>0.54113323062005925</c:v>
                </c:pt>
                <c:pt idx="1">
                  <c:v>0.52454993261371008</c:v>
                </c:pt>
                <c:pt idx="2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8CF-43F8-A182-26966EB29CAA}"/>
            </c:ext>
          </c:extLst>
        </c:ser>
        <c:ser>
          <c:idx val="14"/>
          <c:order val="14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(2)'!$F$12:$G$12</c:f>
              <c:numCache>
                <c:formatCode>0.000</c:formatCode>
                <c:ptCount val="2"/>
                <c:pt idx="0">
                  <c:v>0.34689988936940302</c:v>
                </c:pt>
              </c:numCache>
            </c:numRef>
          </c:xVal>
          <c:yVal>
            <c:numRef>
              <c:f>'03_Anti-Roll Bars (POR) (2)'!$F$29:$G$29</c:f>
              <c:numCache>
                <c:formatCode>0.0%</c:formatCode>
                <c:ptCount val="2"/>
                <c:pt idx="0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8CF-43F8-A182-26966EB29CAA}"/>
            </c:ext>
          </c:extLst>
        </c:ser>
        <c:ser>
          <c:idx val="15"/>
          <c:order val="15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8CF-43F8-A182-26966EB29CAA}"/>
            </c:ext>
          </c:extLst>
        </c:ser>
        <c:ser>
          <c:idx val="16"/>
          <c:order val="16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(2)'!$C$13:$D$13</c:f>
              <c:numCache>
                <c:formatCode>0.000</c:formatCode>
                <c:ptCount val="2"/>
                <c:pt idx="0">
                  <c:v>0.29862382826764833</c:v>
                </c:pt>
                <c:pt idx="1">
                  <c:v>0.32668079204848488</c:v>
                </c:pt>
              </c:numCache>
            </c:numRef>
          </c:xVal>
          <c:yVal>
            <c:numRef>
              <c:f>'03_Anti-Roll Bars (POR) (2)'!$C$30:$D$30</c:f>
              <c:numCache>
                <c:formatCode>0.0%</c:formatCode>
                <c:ptCount val="2"/>
                <c:pt idx="0">
                  <c:v>0.58656818702547853</c:v>
                </c:pt>
                <c:pt idx="1">
                  <c:v>0.54772453054380177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8CF-43F8-A182-26966EB29CAA}"/>
            </c:ext>
          </c:extLst>
        </c:ser>
        <c:ser>
          <c:idx val="17"/>
          <c:order val="17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(2)'!$D$13:$F$13</c:f>
              <c:numCache>
                <c:formatCode>0.000</c:formatCode>
                <c:ptCount val="3"/>
                <c:pt idx="0">
                  <c:v>0.32668079204848488</c:v>
                </c:pt>
                <c:pt idx="1">
                  <c:v>0.33863599914588083</c:v>
                </c:pt>
                <c:pt idx="2">
                  <c:v>0.35144563981959209</c:v>
                </c:pt>
              </c:numCache>
            </c:numRef>
          </c:xVal>
          <c:yVal>
            <c:numRef>
              <c:f>'03_Anti-Roll Bars (POR) (2)'!$D$30:$F$30</c:f>
              <c:numCache>
                <c:formatCode>0.0%</c:formatCode>
                <c:ptCount val="3"/>
                <c:pt idx="0">
                  <c:v>0.54772453054380177</c:v>
                </c:pt>
                <c:pt idx="1">
                  <c:v>0.53117306185011048</c:v>
                </c:pt>
                <c:pt idx="2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8CF-43F8-A182-26966EB29CAA}"/>
            </c:ext>
          </c:extLst>
        </c:ser>
        <c:ser>
          <c:idx val="18"/>
          <c:order val="18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(2)'!$F$13:$G$13</c:f>
              <c:numCache>
                <c:formatCode>0.000</c:formatCode>
                <c:ptCount val="2"/>
                <c:pt idx="0">
                  <c:v>0.35144563981959209</c:v>
                </c:pt>
              </c:numCache>
            </c:numRef>
          </c:xVal>
          <c:yVal>
            <c:numRef>
              <c:f>'03_Anti-Roll Bars (POR) (2)'!$F$30:$G$30</c:f>
              <c:numCache>
                <c:formatCode>0.0%</c:formatCode>
                <c:ptCount val="2"/>
                <c:pt idx="0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8CF-43F8-A182-26966EB29CAA}"/>
            </c:ext>
          </c:extLst>
        </c:ser>
        <c:ser>
          <c:idx val="19"/>
          <c:order val="19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8CF-43F8-A182-26966EB29CAA}"/>
            </c:ext>
          </c:extLst>
        </c:ser>
        <c:ser>
          <c:idx val="20"/>
          <c:order val="20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 (2)'!$C$14:$D$14</c:f>
              <c:numCache>
                <c:formatCode>0.000</c:formatCode>
                <c:ptCount val="2"/>
                <c:pt idx="0">
                  <c:v>0.30411165844000854</c:v>
                </c:pt>
                <c:pt idx="1">
                  <c:v>0.33325963391666608</c:v>
                </c:pt>
              </c:numCache>
            </c:numRef>
          </c:xVal>
          <c:yVal>
            <c:numRef>
              <c:f>'03_Anti-Roll Bars (POR) (2)'!$C$31:$D$31</c:f>
              <c:numCache>
                <c:formatCode>0.0%</c:formatCode>
                <c:ptCount val="2"/>
                <c:pt idx="0">
                  <c:v>0.59734759004090021</c:v>
                </c:pt>
                <c:pt idx="1">
                  <c:v>0.55875484870599312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8CF-43F8-A182-26966EB29CAA}"/>
            </c:ext>
          </c:extLst>
        </c:ser>
        <c:ser>
          <c:idx val="21"/>
          <c:order val="21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(2)'!$D$14:$F$14</c:f>
              <c:numCache>
                <c:formatCode>0.000</c:formatCode>
                <c:ptCount val="3"/>
                <c:pt idx="0">
                  <c:v>0.33325963391666608</c:v>
                </c:pt>
                <c:pt idx="1">
                  <c:v>0.34571038402700749</c:v>
                </c:pt>
                <c:pt idx="2">
                  <c:v>0.35907138145536149</c:v>
                </c:pt>
              </c:numCache>
            </c:numRef>
          </c:xVal>
          <c:yVal>
            <c:numRef>
              <c:f>'03_Anti-Roll Bars (POR) (2)'!$D$31:$F$31</c:f>
              <c:numCache>
                <c:formatCode>0.0%</c:formatCode>
                <c:ptCount val="3"/>
                <c:pt idx="0">
                  <c:v>0.55875484870599312</c:v>
                </c:pt>
                <c:pt idx="1">
                  <c:v>0.54226970452097845</c:v>
                </c:pt>
                <c:pt idx="2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8CF-43F8-A182-26966EB29CAA}"/>
            </c:ext>
          </c:extLst>
        </c:ser>
        <c:ser>
          <c:idx val="22"/>
          <c:order val="22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(2)'!$F$14:$G$14</c:f>
              <c:numCache>
                <c:formatCode>0.000</c:formatCode>
                <c:ptCount val="2"/>
                <c:pt idx="0">
                  <c:v>0.35907138145536149</c:v>
                </c:pt>
              </c:numCache>
            </c:numRef>
          </c:xVal>
          <c:yVal>
            <c:numRef>
              <c:f>'03_Anti-Roll Bars (POR) (2)'!$F$31:$G$31</c:f>
              <c:numCache>
                <c:formatCode>0.0%</c:formatCode>
                <c:ptCount val="2"/>
                <c:pt idx="0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8CF-43F8-A182-26966EB29CAA}"/>
            </c:ext>
          </c:extLst>
        </c:ser>
        <c:ser>
          <c:idx val="23"/>
          <c:order val="23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8CF-43F8-A182-26966EB29CAA}"/>
            </c:ext>
          </c:extLst>
        </c:ser>
        <c:ser>
          <c:idx val="24"/>
          <c:order val="24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8CF-43F8-A182-26966EB29CAA}"/>
            </c:ext>
          </c:extLst>
        </c:ser>
        <c:ser>
          <c:idx val="25"/>
          <c:order val="25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8CF-43F8-A182-26966EB29CAA}"/>
            </c:ext>
          </c:extLst>
        </c:ser>
        <c:ser>
          <c:idx val="26"/>
          <c:order val="26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8CF-43F8-A182-26966EB29CAA}"/>
            </c:ext>
          </c:extLst>
        </c:ser>
        <c:ser>
          <c:idx val="27"/>
          <c:order val="27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8CF-43F8-A182-26966EB29CAA}"/>
            </c:ext>
          </c:extLst>
        </c:ser>
        <c:ser>
          <c:idx val="28"/>
          <c:order val="28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(2)'!$C$16:$D$16</c:f>
              <c:numCache>
                <c:formatCode>0.000</c:formatCode>
                <c:ptCount val="2"/>
                <c:pt idx="0">
                  <c:v>0.30874733139934418</c:v>
                </c:pt>
                <c:pt idx="1">
                  <c:v>0.3388346618965396</c:v>
                </c:pt>
              </c:numCache>
            </c:numRef>
          </c:xVal>
          <c:yVal>
            <c:numRef>
              <c:f>'03_Anti-Roll Bars (POR) (2)'!$C$33:$D$33</c:f>
              <c:numCache>
                <c:formatCode>0.0%</c:formatCode>
                <c:ptCount val="2"/>
                <c:pt idx="0">
                  <c:v>0.60645315371669439</c:v>
                </c:pt>
                <c:pt idx="1">
                  <c:v>0.56810213712138158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8CF-43F8-A182-26966EB29CAA}"/>
            </c:ext>
          </c:extLst>
        </c:ser>
        <c:ser>
          <c:idx val="29"/>
          <c:order val="29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(2)'!$D$16:$F$16</c:f>
              <c:numCache>
                <c:formatCode>0.000</c:formatCode>
                <c:ptCount val="3"/>
                <c:pt idx="0">
                  <c:v>0.3388346618965396</c:v>
                </c:pt>
                <c:pt idx="1">
                  <c:v>0.35171351739240725</c:v>
                </c:pt>
                <c:pt idx="2">
                  <c:v>0.36555184816310465</c:v>
                </c:pt>
              </c:numCache>
            </c:numRef>
          </c:xVal>
          <c:yVal>
            <c:numRef>
              <c:f>'03_Anti-Roll Bars (POR) (2)'!$D$33:$F$33</c:f>
              <c:numCache>
                <c:formatCode>0.0%</c:formatCode>
                <c:ptCount val="3"/>
                <c:pt idx="0">
                  <c:v>0.56810213712138158</c:v>
                </c:pt>
                <c:pt idx="1">
                  <c:v>0.55168601802112793</c:v>
                </c:pt>
                <c:pt idx="2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8CF-43F8-A182-26966EB29CAA}"/>
            </c:ext>
          </c:extLst>
        </c:ser>
        <c:ser>
          <c:idx val="30"/>
          <c:order val="30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(2)'!$F$16:$G$16</c:f>
              <c:numCache>
                <c:formatCode>0.000</c:formatCode>
                <c:ptCount val="2"/>
                <c:pt idx="0">
                  <c:v>0.36555184816310465</c:v>
                </c:pt>
              </c:numCache>
            </c:numRef>
          </c:xVal>
          <c:yVal>
            <c:numRef>
              <c:f>'03_Anti-Roll Bars (POR) (2)'!$F$33:$G$33</c:f>
              <c:numCache>
                <c:formatCode>0.0%</c:formatCode>
                <c:ptCount val="2"/>
                <c:pt idx="0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8CF-43F8-A182-26966EB29CAA}"/>
            </c:ext>
          </c:extLst>
        </c:ser>
        <c:ser>
          <c:idx val="31"/>
          <c:order val="31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8CF-43F8-A182-26966EB29CAA}"/>
            </c:ext>
          </c:extLst>
        </c:ser>
        <c:ser>
          <c:idx val="32"/>
          <c:order val="32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(2)'!$C$17:$D$17</c:f>
              <c:numCache>
                <c:formatCode>0.000</c:formatCode>
                <c:ptCount val="2"/>
                <c:pt idx="0">
                  <c:v>0.31342544317597659</c:v>
                </c:pt>
                <c:pt idx="1">
                  <c:v>0.34447729175318453</c:v>
                </c:pt>
              </c:numCache>
            </c:numRef>
          </c:xVal>
          <c:yVal>
            <c:numRef>
              <c:f>'03_Anti-Roll Bars (POR) (2)'!$C$34:$D$34</c:f>
              <c:numCache>
                <c:formatCode>0.0%</c:formatCode>
                <c:ptCount val="2"/>
                <c:pt idx="0">
                  <c:v>0.61564207731813747</c:v>
                </c:pt>
                <c:pt idx="1">
                  <c:v>0.57756276922614469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8CF-43F8-A182-26966EB29CAA}"/>
            </c:ext>
          </c:extLst>
        </c:ser>
        <c:ser>
          <c:idx val="33"/>
          <c:order val="33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(2)'!$D$17:$F$17</c:f>
              <c:numCache>
                <c:formatCode>0.000</c:formatCode>
                <c:ptCount val="3"/>
                <c:pt idx="0">
                  <c:v>0.34447729175318453</c:v>
                </c:pt>
                <c:pt idx="1">
                  <c:v>0.35779709429618134</c:v>
                </c:pt>
                <c:pt idx="2">
                  <c:v>0.37212804060186472</c:v>
                </c:pt>
              </c:numCache>
            </c:numRef>
          </c:xVal>
          <c:yVal>
            <c:numRef>
              <c:f>'03_Anti-Roll Bars (POR) (2)'!$D$34:$F$34</c:f>
              <c:numCache>
                <c:formatCode>0.0%</c:formatCode>
                <c:ptCount val="3"/>
                <c:pt idx="0">
                  <c:v>0.57756276922614469</c:v>
                </c:pt>
                <c:pt idx="1">
                  <c:v>0.5612285125554618</c:v>
                </c:pt>
                <c:pt idx="2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8CF-43F8-A182-26966EB29CAA}"/>
            </c:ext>
          </c:extLst>
        </c:ser>
        <c:ser>
          <c:idx val="34"/>
          <c:order val="34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(2)'!$F$17:$G$17</c:f>
              <c:numCache>
                <c:formatCode>0.000</c:formatCode>
                <c:ptCount val="2"/>
                <c:pt idx="0">
                  <c:v>0.37212804060186472</c:v>
                </c:pt>
              </c:numCache>
            </c:numRef>
          </c:xVal>
          <c:yVal>
            <c:numRef>
              <c:f>'03_Anti-Roll Bars (POR) (2)'!$F$34:$G$34</c:f>
              <c:numCache>
                <c:formatCode>0.0%</c:formatCode>
                <c:ptCount val="2"/>
                <c:pt idx="0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8CF-43F8-A182-26966EB29CAA}"/>
            </c:ext>
          </c:extLst>
        </c:ser>
        <c:ser>
          <c:idx val="35"/>
          <c:order val="35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8CF-43F8-A182-26966EB29CAA}"/>
            </c:ext>
          </c:extLst>
        </c:ser>
        <c:ser>
          <c:idx val="36"/>
          <c:order val="36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(2)'!$C$18:$D$18</c:f>
              <c:numCache>
                <c:formatCode>0.000</c:formatCode>
                <c:ptCount val="2"/>
                <c:pt idx="0">
                  <c:v>0.31731267594329082</c:v>
                </c:pt>
                <c:pt idx="1">
                  <c:v>0.34917869181235822</c:v>
                </c:pt>
              </c:numCache>
            </c:numRef>
          </c:xVal>
          <c:yVal>
            <c:numRef>
              <c:f>'03_Anti-Roll Bars (POR) (2)'!$C$35:$D$35</c:f>
              <c:numCache>
                <c:formatCode>0.0%</c:formatCode>
                <c:ptCount val="2"/>
                <c:pt idx="0">
                  <c:v>0.62327752653897428</c:v>
                </c:pt>
                <c:pt idx="1">
                  <c:v>0.58544530227671754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8CF-43F8-A182-26966EB29CAA}"/>
            </c:ext>
          </c:extLst>
        </c:ser>
        <c:ser>
          <c:idx val="37"/>
          <c:order val="37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(2)'!$D$18:$F$18</c:f>
              <c:numCache>
                <c:formatCode>0.000</c:formatCode>
                <c:ptCount val="3"/>
                <c:pt idx="0">
                  <c:v>0.34917869181235822</c:v>
                </c:pt>
                <c:pt idx="1">
                  <c:v>0.36287177681659472</c:v>
                </c:pt>
                <c:pt idx="2">
                  <c:v>0.37762049975313666</c:v>
                </c:pt>
              </c:numCache>
            </c:numRef>
          </c:xVal>
          <c:yVal>
            <c:numRef>
              <c:f>'03_Anti-Roll Bars (POR) (2)'!$D$35:$F$35</c:f>
              <c:numCache>
                <c:formatCode>0.0%</c:formatCode>
                <c:ptCount val="3"/>
                <c:pt idx="0">
                  <c:v>0.58544530227671754</c:v>
                </c:pt>
                <c:pt idx="1">
                  <c:v>0.56918848922387266</c:v>
                </c:pt>
                <c:pt idx="2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8CF-43F8-A182-26966EB29CAA}"/>
            </c:ext>
          </c:extLst>
        </c:ser>
        <c:ser>
          <c:idx val="38"/>
          <c:order val="38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(2)'!$F$18:$G$18</c:f>
              <c:numCache>
                <c:formatCode>0.000</c:formatCode>
                <c:ptCount val="2"/>
                <c:pt idx="0">
                  <c:v>0.37762049975313666</c:v>
                </c:pt>
              </c:numCache>
            </c:numRef>
          </c:xVal>
          <c:yVal>
            <c:numRef>
              <c:f>'03_Anti-Roll Bars (POR) (2)'!$F$35:$G$35</c:f>
              <c:numCache>
                <c:formatCode>0.0%</c:formatCode>
                <c:ptCount val="2"/>
                <c:pt idx="0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8CF-43F8-A182-26966EB29CAA}"/>
            </c:ext>
          </c:extLst>
        </c:ser>
        <c:ser>
          <c:idx val="39"/>
          <c:order val="39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8CF-43F8-A182-26966EB29CAA}"/>
            </c:ext>
          </c:extLst>
        </c:ser>
        <c:ser>
          <c:idx val="40"/>
          <c:order val="40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(2)'!$C$23:$D$23</c:f>
              <c:numCache>
                <c:formatCode>0.000</c:formatCode>
                <c:ptCount val="2"/>
                <c:pt idx="0">
                  <c:v>0.35718195053425933</c:v>
                </c:pt>
                <c:pt idx="1">
                  <c:v>0.39807474011218691</c:v>
                </c:pt>
              </c:numCache>
            </c:numRef>
          </c:xVal>
          <c:yVal>
            <c:numRef>
              <c:f>'03_Anti-Roll Bars (POR) (2)'!$C$40:$D$40</c:f>
              <c:numCache>
                <c:formatCode>0.0%</c:formatCode>
                <c:ptCount val="2"/>
                <c:pt idx="0">
                  <c:v>0.70159025948634335</c:v>
                </c:pt>
                <c:pt idx="1">
                  <c:v>0.66742614030681469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8CF-43F8-A182-26966EB29CAA}"/>
            </c:ext>
          </c:extLst>
        </c:ser>
        <c:ser>
          <c:idx val="41"/>
          <c:order val="41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(2)'!$D$23:$F$23</c:f>
              <c:numCache>
                <c:formatCode>0.000</c:formatCode>
                <c:ptCount val="3"/>
                <c:pt idx="0">
                  <c:v>0.39807474011218691</c:v>
                </c:pt>
                <c:pt idx="1">
                  <c:v>0.41596952636587498</c:v>
                </c:pt>
                <c:pt idx="2">
                  <c:v>0.43546625210701834</c:v>
                </c:pt>
              </c:numCache>
            </c:numRef>
          </c:xVal>
          <c:yVal>
            <c:numRef>
              <c:f>'03_Anti-Roll Bars (POR) (2)'!$D$40:$F$40</c:f>
              <c:numCache>
                <c:formatCode>0.0%</c:formatCode>
                <c:ptCount val="3"/>
                <c:pt idx="0">
                  <c:v>0.66742614030681469</c:v>
                </c:pt>
                <c:pt idx="1">
                  <c:v>0.65247583692635813</c:v>
                </c:pt>
                <c:pt idx="2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8CF-43F8-A182-26966EB29CAA}"/>
            </c:ext>
          </c:extLst>
        </c:ser>
        <c:ser>
          <c:idx val="42"/>
          <c:order val="42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(2)'!$F$23:$G$23</c:f>
              <c:numCache>
                <c:formatCode>0.000</c:formatCode>
                <c:ptCount val="2"/>
                <c:pt idx="0">
                  <c:v>0.43546625210701834</c:v>
                </c:pt>
              </c:numCache>
            </c:numRef>
          </c:xVal>
          <c:yVal>
            <c:numRef>
              <c:f>'03_Anti-Roll Bars (POR) (2)'!$F$40:$G$40</c:f>
              <c:numCache>
                <c:formatCode>0.0%</c:formatCode>
                <c:ptCount val="2"/>
                <c:pt idx="0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8CF-43F8-A182-26966EB29CAA}"/>
            </c:ext>
          </c:extLst>
        </c:ser>
        <c:ser>
          <c:idx val="43"/>
          <c:order val="43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8CF-43F8-A182-26966EB29CAA}"/>
            </c:ext>
          </c:extLst>
        </c:ser>
        <c:ser>
          <c:idx val="44"/>
          <c:order val="44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8CF-43F8-A182-26966EB29CAA}"/>
            </c:ext>
          </c:extLst>
        </c:ser>
        <c:ser>
          <c:idx val="45"/>
          <c:order val="45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8CF-43F8-A182-26966EB29CAA}"/>
            </c:ext>
          </c:extLst>
        </c:ser>
        <c:ser>
          <c:idx val="46"/>
          <c:order val="46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8CF-43F8-A182-26966EB29CAA}"/>
            </c:ext>
          </c:extLst>
        </c:ser>
        <c:ser>
          <c:idx val="47"/>
          <c:order val="47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8CF-43F8-A182-26966EB29CAA}"/>
            </c:ext>
          </c:extLst>
        </c:ser>
        <c:ser>
          <c:idx val="48"/>
          <c:order val="48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(2)'!$C$20:$D$20</c:f>
              <c:numCache>
                <c:formatCode>0.000</c:formatCode>
                <c:ptCount val="2"/>
                <c:pt idx="0">
                  <c:v>0.32332774384900009</c:v>
                </c:pt>
                <c:pt idx="1">
                  <c:v>0.35647643713642069</c:v>
                </c:pt>
              </c:numCache>
            </c:numRef>
          </c:xVal>
          <c:yVal>
            <c:numRef>
              <c:f>'03_Anti-Roll Bars (POR) (2)'!$C$37:$D$37</c:f>
              <c:numCache>
                <c:formatCode>0.0%</c:formatCode>
                <c:ptCount val="2"/>
                <c:pt idx="0">
                  <c:v>0.63509254979667895</c:v>
                </c:pt>
                <c:pt idx="1">
                  <c:v>0.59768095931240006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8CF-43F8-A182-26966EB29CAA}"/>
            </c:ext>
          </c:extLst>
        </c:ser>
        <c:ser>
          <c:idx val="49"/>
          <c:order val="49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(2)'!$D$20:$F$20</c:f>
              <c:numCache>
                <c:formatCode>0.000</c:formatCode>
                <c:ptCount val="3"/>
                <c:pt idx="0">
                  <c:v>0.35647643713642069</c:v>
                </c:pt>
                <c:pt idx="1">
                  <c:v>0.37075957347613331</c:v>
                </c:pt>
                <c:pt idx="2">
                  <c:v>0.38617007059872238</c:v>
                </c:pt>
              </c:numCache>
            </c:numRef>
          </c:xVal>
          <c:yVal>
            <c:numRef>
              <c:f>'03_Anti-Roll Bars (POR) (2)'!$D$37:$F$37</c:f>
              <c:numCache>
                <c:formatCode>0.0%</c:formatCode>
                <c:ptCount val="3"/>
                <c:pt idx="0">
                  <c:v>0.59768095931240006</c:v>
                </c:pt>
                <c:pt idx="1">
                  <c:v>0.58156102230796825</c:v>
                </c:pt>
                <c:pt idx="2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8CF-43F8-A182-26966EB29CAA}"/>
            </c:ext>
          </c:extLst>
        </c:ser>
        <c:ser>
          <c:idx val="50"/>
          <c:order val="50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(2)'!$F$20:$G$20</c:f>
              <c:numCache>
                <c:formatCode>0.000</c:formatCode>
                <c:ptCount val="2"/>
                <c:pt idx="0">
                  <c:v>0.38617007059872238</c:v>
                </c:pt>
              </c:numCache>
            </c:numRef>
          </c:xVal>
          <c:yVal>
            <c:numRef>
              <c:f>'03_Anti-Roll Bars (POR) (2)'!$F$37:$G$37</c:f>
              <c:numCache>
                <c:formatCode>0.0%</c:formatCode>
                <c:ptCount val="2"/>
                <c:pt idx="0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8CF-43F8-A182-26966EB29CAA}"/>
            </c:ext>
          </c:extLst>
        </c:ser>
        <c:ser>
          <c:idx val="51"/>
          <c:order val="51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8CF-43F8-A182-26966EB29CAA}"/>
            </c:ext>
          </c:extLst>
        </c:ser>
        <c:ser>
          <c:idx val="52"/>
          <c:order val="52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(2)'!$C$21:$D$21</c:f>
              <c:numCache>
                <c:formatCode>0.000</c:formatCode>
                <c:ptCount val="2"/>
                <c:pt idx="0">
                  <c:v>0.32630297473406406</c:v>
                </c:pt>
                <c:pt idx="1">
                  <c:v>0.36009641820187616</c:v>
                </c:pt>
              </c:numCache>
            </c:numRef>
          </c:xVal>
          <c:yVal>
            <c:numRef>
              <c:f>'03_Anti-Roll Bars (POR) (2)'!$C$38:$D$38</c:f>
              <c:numCache>
                <c:formatCode>0.0%</c:formatCode>
                <c:ptCount val="2"/>
                <c:pt idx="0">
                  <c:v>0.64093661052136408</c:v>
                </c:pt>
                <c:pt idx="1">
                  <c:v>0.60375034716107323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8CF-43F8-A182-26966EB29CAA}"/>
            </c:ext>
          </c:extLst>
        </c:ser>
        <c:ser>
          <c:idx val="53"/>
          <c:order val="53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(2)'!$D$21:$F$21</c:f>
              <c:numCache>
                <c:formatCode>0.000</c:formatCode>
                <c:ptCount val="3"/>
                <c:pt idx="0">
                  <c:v>0.36009641820187616</c:v>
                </c:pt>
                <c:pt idx="1">
                  <c:v>0.37467704755977538</c:v>
                </c:pt>
                <c:pt idx="2">
                  <c:v>0.39042183685388071</c:v>
                </c:pt>
              </c:numCache>
            </c:numRef>
          </c:xVal>
          <c:yVal>
            <c:numRef>
              <c:f>'03_Anti-Roll Bars (POR) (2)'!$D$38:$F$38</c:f>
              <c:numCache>
                <c:formatCode>0.0%</c:formatCode>
                <c:ptCount val="3"/>
                <c:pt idx="0">
                  <c:v>0.60375034716107323</c:v>
                </c:pt>
                <c:pt idx="1">
                  <c:v>0.58770584066447817</c:v>
                </c:pt>
                <c:pt idx="2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8CF-43F8-A182-26966EB29CAA}"/>
            </c:ext>
          </c:extLst>
        </c:ser>
        <c:ser>
          <c:idx val="54"/>
          <c:order val="54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(2)'!$F$21:$G$21</c:f>
              <c:numCache>
                <c:formatCode>0.000</c:formatCode>
                <c:ptCount val="2"/>
                <c:pt idx="0">
                  <c:v>0.39042183685388071</c:v>
                </c:pt>
              </c:numCache>
            </c:numRef>
          </c:xVal>
          <c:yVal>
            <c:numRef>
              <c:f>'03_Anti-Roll Bars (POR) (2)'!$F$38:$G$38</c:f>
              <c:numCache>
                <c:formatCode>0.0%</c:formatCode>
                <c:ptCount val="2"/>
                <c:pt idx="0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28CF-43F8-A182-26966EB29CAA}"/>
            </c:ext>
          </c:extLst>
        </c:ser>
        <c:ser>
          <c:idx val="55"/>
          <c:order val="55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8CF-43F8-A182-26966EB29CAA}"/>
            </c:ext>
          </c:extLst>
        </c:ser>
        <c:ser>
          <c:idx val="56"/>
          <c:order val="56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(2)'!$C$22:$D$22</c:f>
              <c:numCache>
                <c:formatCode>0.000</c:formatCode>
                <c:ptCount val="2"/>
                <c:pt idx="0">
                  <c:v>0.32957526491671618</c:v>
                </c:pt>
                <c:pt idx="1">
                  <c:v>0.36408573598299665</c:v>
                </c:pt>
              </c:numCache>
            </c:numRef>
          </c:xVal>
          <c:yVal>
            <c:numRef>
              <c:f>'03_Anti-Roll Bars (POR) (2)'!$C$39:$D$39</c:f>
              <c:numCache>
                <c:formatCode>0.0%</c:formatCode>
                <c:ptCount val="2"/>
                <c:pt idx="0">
                  <c:v>0.64736416632290339</c:v>
                </c:pt>
                <c:pt idx="1">
                  <c:v>0.61043897796532931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8CF-43F8-A182-26966EB29CAA}"/>
            </c:ext>
          </c:extLst>
        </c:ser>
        <c:ser>
          <c:idx val="57"/>
          <c:order val="57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(2)'!$D$22:$F$22</c:f>
              <c:numCache>
                <c:formatCode>0.000</c:formatCode>
                <c:ptCount val="3"/>
                <c:pt idx="0">
                  <c:v>0.36408573598299665</c:v>
                </c:pt>
                <c:pt idx="1">
                  <c:v>0.37899790628297719</c:v>
                </c:pt>
                <c:pt idx="2">
                  <c:v>0.39511574517964287</c:v>
                </c:pt>
              </c:numCache>
            </c:numRef>
          </c:xVal>
          <c:yVal>
            <c:numRef>
              <c:f>'03_Anti-Roll Bars (POR) (2)'!$D$39:$F$39</c:f>
              <c:numCache>
                <c:formatCode>0.0%</c:formatCode>
                <c:ptCount val="3"/>
                <c:pt idx="0">
                  <c:v>0.61043897796532931</c:v>
                </c:pt>
                <c:pt idx="1">
                  <c:v>0.59448339462688515</c:v>
                </c:pt>
                <c:pt idx="2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8CF-43F8-A182-26966EB29CAA}"/>
            </c:ext>
          </c:extLst>
        </c:ser>
        <c:ser>
          <c:idx val="58"/>
          <c:order val="58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(2)'!$F$22:$G$22</c:f>
              <c:numCache>
                <c:formatCode>0.000</c:formatCode>
                <c:ptCount val="2"/>
                <c:pt idx="0">
                  <c:v>0.39511574517964287</c:v>
                </c:pt>
              </c:numCache>
            </c:numRef>
          </c:xVal>
          <c:yVal>
            <c:numRef>
              <c:f>'03_Anti-Roll Bars (POR) (2)'!$F$39:$G$39</c:f>
              <c:numCache>
                <c:formatCode>0.0%</c:formatCode>
                <c:ptCount val="2"/>
                <c:pt idx="0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8CF-43F8-A182-26966EB29CAA}"/>
            </c:ext>
          </c:extLst>
        </c:ser>
        <c:ser>
          <c:idx val="59"/>
          <c:order val="59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8CF-43F8-A182-26966EB29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87-4390-BE16-E54D04A94593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87-4390-BE16-E54D04A94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66-4C70-9B61-E1F48013FA63}"/>
            </c:ext>
          </c:extLst>
        </c:ser>
        <c:ser>
          <c:idx val="1"/>
          <c:order val="1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66-4C70-9B61-E1F48013FA63}"/>
            </c:ext>
          </c:extLst>
        </c:ser>
        <c:ser>
          <c:idx val="2"/>
          <c:order val="2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66-4C70-9B61-E1F48013FA63}"/>
            </c:ext>
          </c:extLst>
        </c:ser>
        <c:ser>
          <c:idx val="3"/>
          <c:order val="3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66-4C70-9B61-E1F48013FA63}"/>
            </c:ext>
          </c:extLst>
        </c:ser>
        <c:ser>
          <c:idx val="4"/>
          <c:order val="4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 (POR)'!$C$27:$D$27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66-4C70-9B61-E1F48013FA63}"/>
            </c:ext>
          </c:extLst>
        </c:ser>
        <c:ser>
          <c:idx val="5"/>
          <c:order val="5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 (POR)'!$D$27:$F$27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66-4C70-9B61-E1F48013FA63}"/>
            </c:ext>
          </c:extLst>
        </c:ser>
        <c:ser>
          <c:idx val="6"/>
          <c:order val="6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 (POR)'!$F$27:$G$27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266-4C70-9B61-E1F48013FA63}"/>
            </c:ext>
          </c:extLst>
        </c:ser>
        <c:ser>
          <c:idx val="7"/>
          <c:order val="7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266-4C70-9B61-E1F48013FA63}"/>
            </c:ext>
          </c:extLst>
        </c:ser>
        <c:ser>
          <c:idx val="8"/>
          <c:order val="8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266-4C70-9B61-E1F48013FA63}"/>
            </c:ext>
          </c:extLst>
        </c:ser>
        <c:ser>
          <c:idx val="9"/>
          <c:order val="9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266-4C70-9B61-E1F48013FA63}"/>
            </c:ext>
          </c:extLst>
        </c:ser>
        <c:ser>
          <c:idx val="10"/>
          <c:order val="10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266-4C70-9B61-E1F48013FA63}"/>
            </c:ext>
          </c:extLst>
        </c:ser>
        <c:ser>
          <c:idx val="11"/>
          <c:order val="11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266-4C70-9B61-E1F48013FA63}"/>
            </c:ext>
          </c:extLst>
        </c:ser>
        <c:ser>
          <c:idx val="12"/>
          <c:order val="12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 (POR)'!$C$29:$D$29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266-4C70-9B61-E1F48013FA63}"/>
            </c:ext>
          </c:extLst>
        </c:ser>
        <c:ser>
          <c:idx val="13"/>
          <c:order val="13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 (POR)'!$D$29:$F$29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266-4C70-9B61-E1F48013FA63}"/>
            </c:ext>
          </c:extLst>
        </c:ser>
        <c:ser>
          <c:idx val="14"/>
          <c:order val="14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 (POR)'!$F$29:$G$29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266-4C70-9B61-E1F48013FA63}"/>
            </c:ext>
          </c:extLst>
        </c:ser>
        <c:ser>
          <c:idx val="15"/>
          <c:order val="15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266-4C70-9B61-E1F48013FA63}"/>
            </c:ext>
          </c:extLst>
        </c:ser>
        <c:ser>
          <c:idx val="16"/>
          <c:order val="16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 (POR)'!$C$30:$D$30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266-4C70-9B61-E1F48013FA63}"/>
            </c:ext>
          </c:extLst>
        </c:ser>
        <c:ser>
          <c:idx val="17"/>
          <c:order val="17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 (POR)'!$D$30:$F$30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266-4C70-9B61-E1F48013FA63}"/>
            </c:ext>
          </c:extLst>
        </c:ser>
        <c:ser>
          <c:idx val="18"/>
          <c:order val="18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 (POR)'!$F$30:$G$30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266-4C70-9B61-E1F48013FA63}"/>
            </c:ext>
          </c:extLst>
        </c:ser>
        <c:ser>
          <c:idx val="19"/>
          <c:order val="19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266-4C70-9B61-E1F48013FA63}"/>
            </c:ext>
          </c:extLst>
        </c:ser>
        <c:ser>
          <c:idx val="20"/>
          <c:order val="20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 (POR)'!$C$31:$D$31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7266-4C70-9B61-E1F48013FA63}"/>
            </c:ext>
          </c:extLst>
        </c:ser>
        <c:ser>
          <c:idx val="21"/>
          <c:order val="21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 (POR)'!$D$31:$F$31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7266-4C70-9B61-E1F48013FA63}"/>
            </c:ext>
          </c:extLst>
        </c:ser>
        <c:ser>
          <c:idx val="22"/>
          <c:order val="22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 (POR)'!$F$31:$G$31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7266-4C70-9B61-E1F48013FA63}"/>
            </c:ext>
          </c:extLst>
        </c:ser>
        <c:ser>
          <c:idx val="23"/>
          <c:order val="23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7266-4C70-9B61-E1F48013FA63}"/>
            </c:ext>
          </c:extLst>
        </c:ser>
        <c:ser>
          <c:idx val="24"/>
          <c:order val="24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7266-4C70-9B61-E1F48013FA63}"/>
            </c:ext>
          </c:extLst>
        </c:ser>
        <c:ser>
          <c:idx val="25"/>
          <c:order val="25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7266-4C70-9B61-E1F48013FA63}"/>
            </c:ext>
          </c:extLst>
        </c:ser>
        <c:ser>
          <c:idx val="26"/>
          <c:order val="26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7266-4C70-9B61-E1F48013FA63}"/>
            </c:ext>
          </c:extLst>
        </c:ser>
        <c:ser>
          <c:idx val="27"/>
          <c:order val="27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7266-4C70-9B61-E1F48013FA63}"/>
            </c:ext>
          </c:extLst>
        </c:ser>
        <c:ser>
          <c:idx val="28"/>
          <c:order val="28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 (POR)'!$C$33:$D$33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7266-4C70-9B61-E1F48013FA63}"/>
            </c:ext>
          </c:extLst>
        </c:ser>
        <c:ser>
          <c:idx val="29"/>
          <c:order val="29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 (POR)'!$D$33:$F$33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7266-4C70-9B61-E1F48013FA63}"/>
            </c:ext>
          </c:extLst>
        </c:ser>
        <c:ser>
          <c:idx val="30"/>
          <c:order val="30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 (POR)'!$F$33:$G$33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7266-4C70-9B61-E1F48013FA63}"/>
            </c:ext>
          </c:extLst>
        </c:ser>
        <c:ser>
          <c:idx val="31"/>
          <c:order val="31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266-4C70-9B61-E1F48013FA63}"/>
            </c:ext>
          </c:extLst>
        </c:ser>
        <c:ser>
          <c:idx val="32"/>
          <c:order val="32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 (POR)'!$C$34:$D$34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7266-4C70-9B61-E1F48013FA63}"/>
            </c:ext>
          </c:extLst>
        </c:ser>
        <c:ser>
          <c:idx val="33"/>
          <c:order val="33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 (POR)'!$D$34:$F$34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7266-4C70-9B61-E1F48013FA63}"/>
            </c:ext>
          </c:extLst>
        </c:ser>
        <c:ser>
          <c:idx val="34"/>
          <c:order val="34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 (POR)'!$F$34:$G$34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7266-4C70-9B61-E1F48013FA63}"/>
            </c:ext>
          </c:extLst>
        </c:ser>
        <c:ser>
          <c:idx val="35"/>
          <c:order val="35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7266-4C70-9B61-E1F48013FA63}"/>
            </c:ext>
          </c:extLst>
        </c:ser>
        <c:ser>
          <c:idx val="36"/>
          <c:order val="36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 (POR)'!$C$35:$D$35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7266-4C70-9B61-E1F48013FA63}"/>
            </c:ext>
          </c:extLst>
        </c:ser>
        <c:ser>
          <c:idx val="37"/>
          <c:order val="37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 (POR)'!$D$35:$F$35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7266-4C70-9B61-E1F48013FA63}"/>
            </c:ext>
          </c:extLst>
        </c:ser>
        <c:ser>
          <c:idx val="38"/>
          <c:order val="38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 (POR)'!$F$35:$G$35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7266-4C70-9B61-E1F48013FA63}"/>
            </c:ext>
          </c:extLst>
        </c:ser>
        <c:ser>
          <c:idx val="39"/>
          <c:order val="39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7266-4C70-9B61-E1F48013FA63}"/>
            </c:ext>
          </c:extLst>
        </c:ser>
        <c:ser>
          <c:idx val="40"/>
          <c:order val="40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 (POR)'!$C$40:$D$40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7266-4C70-9B61-E1F48013FA63}"/>
            </c:ext>
          </c:extLst>
        </c:ser>
        <c:ser>
          <c:idx val="41"/>
          <c:order val="41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 (POR)'!$D$40:$F$40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7266-4C70-9B61-E1F48013FA63}"/>
            </c:ext>
          </c:extLst>
        </c:ser>
        <c:ser>
          <c:idx val="42"/>
          <c:order val="42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 (POR)'!$F$40:$G$40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7266-4C70-9B61-E1F48013FA63}"/>
            </c:ext>
          </c:extLst>
        </c:ser>
        <c:ser>
          <c:idx val="43"/>
          <c:order val="43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7266-4C70-9B61-E1F48013FA63}"/>
            </c:ext>
          </c:extLst>
        </c:ser>
        <c:ser>
          <c:idx val="44"/>
          <c:order val="44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7266-4C70-9B61-E1F48013FA63}"/>
            </c:ext>
          </c:extLst>
        </c:ser>
        <c:ser>
          <c:idx val="45"/>
          <c:order val="45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7266-4C70-9B61-E1F48013FA63}"/>
            </c:ext>
          </c:extLst>
        </c:ser>
        <c:ser>
          <c:idx val="46"/>
          <c:order val="46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7266-4C70-9B61-E1F48013FA63}"/>
            </c:ext>
          </c:extLst>
        </c:ser>
        <c:ser>
          <c:idx val="47"/>
          <c:order val="47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7266-4C70-9B61-E1F48013FA63}"/>
            </c:ext>
          </c:extLst>
        </c:ser>
        <c:ser>
          <c:idx val="48"/>
          <c:order val="48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 (POR)'!$C$37:$D$37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7266-4C70-9B61-E1F48013FA63}"/>
            </c:ext>
          </c:extLst>
        </c:ser>
        <c:ser>
          <c:idx val="49"/>
          <c:order val="49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 (POR)'!$D$37:$F$37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7266-4C70-9B61-E1F48013FA63}"/>
            </c:ext>
          </c:extLst>
        </c:ser>
        <c:ser>
          <c:idx val="50"/>
          <c:order val="50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 (POR)'!$F$37:$G$37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7266-4C70-9B61-E1F48013FA63}"/>
            </c:ext>
          </c:extLst>
        </c:ser>
        <c:ser>
          <c:idx val="51"/>
          <c:order val="51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7266-4C70-9B61-E1F48013FA63}"/>
            </c:ext>
          </c:extLst>
        </c:ser>
        <c:ser>
          <c:idx val="52"/>
          <c:order val="52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 (POR)'!$C$38:$D$38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7266-4C70-9B61-E1F48013FA63}"/>
            </c:ext>
          </c:extLst>
        </c:ser>
        <c:ser>
          <c:idx val="53"/>
          <c:order val="53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 (POR)'!$D$38:$F$38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7266-4C70-9B61-E1F48013FA63}"/>
            </c:ext>
          </c:extLst>
        </c:ser>
        <c:ser>
          <c:idx val="54"/>
          <c:order val="54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 (POR)'!$F$38:$G$38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7266-4C70-9B61-E1F48013FA63}"/>
            </c:ext>
          </c:extLst>
        </c:ser>
        <c:ser>
          <c:idx val="55"/>
          <c:order val="55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7266-4C70-9B61-E1F48013FA63}"/>
            </c:ext>
          </c:extLst>
        </c:ser>
        <c:ser>
          <c:idx val="56"/>
          <c:order val="56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 (POR)'!$C$39:$D$39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7266-4C70-9B61-E1F48013FA63}"/>
            </c:ext>
          </c:extLst>
        </c:ser>
        <c:ser>
          <c:idx val="57"/>
          <c:order val="57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 (POR)'!$D$39:$F$39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7266-4C70-9B61-E1F48013FA63}"/>
            </c:ext>
          </c:extLst>
        </c:ser>
        <c:ser>
          <c:idx val="58"/>
          <c:order val="58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 (POR)'!$F$39:$G$39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7266-4C70-9B61-E1F48013FA63}"/>
            </c:ext>
          </c:extLst>
        </c:ser>
        <c:ser>
          <c:idx val="59"/>
          <c:order val="59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7266-4C70-9B61-E1F48013F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(VAL)'!$C$2:$H$2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05-4179-A930-7F81738327DE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(VAL)'!$B$9:$B$23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05-4179-A930-7F8173832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3-441B-ADCB-80FE8324411E}"/>
            </c:ext>
          </c:extLst>
        </c:ser>
        <c:ser>
          <c:idx val="1"/>
          <c:order val="1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03-441B-ADCB-80FE8324411E}"/>
            </c:ext>
          </c:extLst>
        </c:ser>
        <c:ser>
          <c:idx val="2"/>
          <c:order val="2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03-441B-ADCB-80FE8324411E}"/>
            </c:ext>
          </c:extLst>
        </c:ser>
        <c:ser>
          <c:idx val="3"/>
          <c:order val="3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03-441B-ADCB-80FE8324411E}"/>
            </c:ext>
          </c:extLst>
        </c:ser>
        <c:ser>
          <c:idx val="4"/>
          <c:order val="4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(VAL)'!$C$27:$D$27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03-441B-ADCB-80FE8324411E}"/>
            </c:ext>
          </c:extLst>
        </c:ser>
        <c:ser>
          <c:idx val="5"/>
          <c:order val="5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(VAL)'!$D$27:$F$27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03-441B-ADCB-80FE8324411E}"/>
            </c:ext>
          </c:extLst>
        </c:ser>
        <c:ser>
          <c:idx val="6"/>
          <c:order val="6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(VAL)'!$F$27:$G$27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003-441B-ADCB-80FE8324411E}"/>
            </c:ext>
          </c:extLst>
        </c:ser>
        <c:ser>
          <c:idx val="7"/>
          <c:order val="7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003-441B-ADCB-80FE8324411E}"/>
            </c:ext>
          </c:extLst>
        </c:ser>
        <c:ser>
          <c:idx val="8"/>
          <c:order val="8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(VAL)'!$C$11:$D$11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003-441B-ADCB-80FE8324411E}"/>
            </c:ext>
          </c:extLst>
        </c:ser>
        <c:ser>
          <c:idx val="9"/>
          <c:order val="9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003-441B-ADCB-80FE8324411E}"/>
            </c:ext>
          </c:extLst>
        </c:ser>
        <c:ser>
          <c:idx val="10"/>
          <c:order val="10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003-441B-ADCB-80FE8324411E}"/>
            </c:ext>
          </c:extLst>
        </c:ser>
        <c:ser>
          <c:idx val="11"/>
          <c:order val="11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003-441B-ADCB-80FE8324411E}"/>
            </c:ext>
          </c:extLst>
        </c:ser>
        <c:ser>
          <c:idx val="12"/>
          <c:order val="12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(VAL)'!$C$29:$D$29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003-441B-ADCB-80FE8324411E}"/>
            </c:ext>
          </c:extLst>
        </c:ser>
        <c:ser>
          <c:idx val="13"/>
          <c:order val="13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(VAL)'!$D$29:$F$29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003-441B-ADCB-80FE8324411E}"/>
            </c:ext>
          </c:extLst>
        </c:ser>
        <c:ser>
          <c:idx val="14"/>
          <c:order val="14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(VAL)'!$F$29:$G$29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003-441B-ADCB-80FE8324411E}"/>
            </c:ext>
          </c:extLst>
        </c:ser>
        <c:ser>
          <c:idx val="15"/>
          <c:order val="15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003-441B-ADCB-80FE8324411E}"/>
            </c:ext>
          </c:extLst>
        </c:ser>
        <c:ser>
          <c:idx val="16"/>
          <c:order val="16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(VAL)'!$C$30:$D$30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003-441B-ADCB-80FE8324411E}"/>
            </c:ext>
          </c:extLst>
        </c:ser>
        <c:ser>
          <c:idx val="17"/>
          <c:order val="17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(VAL)'!$D$30:$F$30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003-441B-ADCB-80FE8324411E}"/>
            </c:ext>
          </c:extLst>
        </c:ser>
        <c:ser>
          <c:idx val="18"/>
          <c:order val="18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(VAL)'!$F$30:$G$30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003-441B-ADCB-80FE8324411E}"/>
            </c:ext>
          </c:extLst>
        </c:ser>
        <c:ser>
          <c:idx val="19"/>
          <c:order val="19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003-441B-ADCB-80FE8324411E}"/>
            </c:ext>
          </c:extLst>
        </c:ser>
        <c:ser>
          <c:idx val="20"/>
          <c:order val="20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(VAL)'!$C$14:$D$14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(VAL)'!$C$31:$D$31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003-441B-ADCB-80FE8324411E}"/>
            </c:ext>
          </c:extLst>
        </c:ser>
        <c:ser>
          <c:idx val="21"/>
          <c:order val="21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(VAL)'!$D$31:$F$31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003-441B-ADCB-80FE8324411E}"/>
            </c:ext>
          </c:extLst>
        </c:ser>
        <c:ser>
          <c:idx val="22"/>
          <c:order val="22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(VAL)'!$F$31:$G$31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003-441B-ADCB-80FE8324411E}"/>
            </c:ext>
          </c:extLst>
        </c:ser>
        <c:ser>
          <c:idx val="23"/>
          <c:order val="23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003-441B-ADCB-80FE8324411E}"/>
            </c:ext>
          </c:extLst>
        </c:ser>
        <c:ser>
          <c:idx val="24"/>
          <c:order val="24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003-441B-ADCB-80FE8324411E}"/>
            </c:ext>
          </c:extLst>
        </c:ser>
        <c:ser>
          <c:idx val="25"/>
          <c:order val="25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003-441B-ADCB-80FE8324411E}"/>
            </c:ext>
          </c:extLst>
        </c:ser>
        <c:ser>
          <c:idx val="26"/>
          <c:order val="26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003-441B-ADCB-80FE8324411E}"/>
            </c:ext>
          </c:extLst>
        </c:ser>
        <c:ser>
          <c:idx val="27"/>
          <c:order val="27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003-441B-ADCB-80FE8324411E}"/>
            </c:ext>
          </c:extLst>
        </c:ser>
        <c:ser>
          <c:idx val="28"/>
          <c:order val="28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(VAL)'!$C$33:$D$33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003-441B-ADCB-80FE8324411E}"/>
            </c:ext>
          </c:extLst>
        </c:ser>
        <c:ser>
          <c:idx val="29"/>
          <c:order val="29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(VAL)'!$D$33:$F$33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003-441B-ADCB-80FE8324411E}"/>
            </c:ext>
          </c:extLst>
        </c:ser>
        <c:ser>
          <c:idx val="30"/>
          <c:order val="30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(VAL)'!$F$33:$G$33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003-441B-ADCB-80FE8324411E}"/>
            </c:ext>
          </c:extLst>
        </c:ser>
        <c:ser>
          <c:idx val="31"/>
          <c:order val="31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003-441B-ADCB-80FE8324411E}"/>
            </c:ext>
          </c:extLst>
        </c:ser>
        <c:ser>
          <c:idx val="32"/>
          <c:order val="32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(VAL)'!$C$34:$D$34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F003-441B-ADCB-80FE8324411E}"/>
            </c:ext>
          </c:extLst>
        </c:ser>
        <c:ser>
          <c:idx val="33"/>
          <c:order val="33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(VAL)'!$D$34:$F$34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003-441B-ADCB-80FE8324411E}"/>
            </c:ext>
          </c:extLst>
        </c:ser>
        <c:ser>
          <c:idx val="34"/>
          <c:order val="34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(VAL)'!$F$34:$G$34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003-441B-ADCB-80FE8324411E}"/>
            </c:ext>
          </c:extLst>
        </c:ser>
        <c:ser>
          <c:idx val="35"/>
          <c:order val="35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F003-441B-ADCB-80FE8324411E}"/>
            </c:ext>
          </c:extLst>
        </c:ser>
        <c:ser>
          <c:idx val="36"/>
          <c:order val="36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(VAL)'!$C$35:$D$35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F003-441B-ADCB-80FE8324411E}"/>
            </c:ext>
          </c:extLst>
        </c:ser>
        <c:ser>
          <c:idx val="37"/>
          <c:order val="37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(VAL)'!$D$35:$F$35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003-441B-ADCB-80FE8324411E}"/>
            </c:ext>
          </c:extLst>
        </c:ser>
        <c:ser>
          <c:idx val="38"/>
          <c:order val="38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(VAL)'!$F$35:$G$35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F003-441B-ADCB-80FE8324411E}"/>
            </c:ext>
          </c:extLst>
        </c:ser>
        <c:ser>
          <c:idx val="39"/>
          <c:order val="39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F003-441B-ADCB-80FE8324411E}"/>
            </c:ext>
          </c:extLst>
        </c:ser>
        <c:ser>
          <c:idx val="40"/>
          <c:order val="40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(VAL)'!$C$40:$D$40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F003-441B-ADCB-80FE8324411E}"/>
            </c:ext>
          </c:extLst>
        </c:ser>
        <c:ser>
          <c:idx val="41"/>
          <c:order val="41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(VAL)'!$D$40:$F$40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F003-441B-ADCB-80FE8324411E}"/>
            </c:ext>
          </c:extLst>
        </c:ser>
        <c:ser>
          <c:idx val="42"/>
          <c:order val="42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(VAL)'!$F$40:$G$40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F003-441B-ADCB-80FE8324411E}"/>
            </c:ext>
          </c:extLst>
        </c:ser>
        <c:ser>
          <c:idx val="43"/>
          <c:order val="43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F003-441B-ADCB-80FE8324411E}"/>
            </c:ext>
          </c:extLst>
        </c:ser>
        <c:ser>
          <c:idx val="44"/>
          <c:order val="44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003-441B-ADCB-80FE8324411E}"/>
            </c:ext>
          </c:extLst>
        </c:ser>
        <c:ser>
          <c:idx val="45"/>
          <c:order val="45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F003-441B-ADCB-80FE8324411E}"/>
            </c:ext>
          </c:extLst>
        </c:ser>
        <c:ser>
          <c:idx val="46"/>
          <c:order val="46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F003-441B-ADCB-80FE8324411E}"/>
            </c:ext>
          </c:extLst>
        </c:ser>
        <c:ser>
          <c:idx val="47"/>
          <c:order val="47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F003-441B-ADCB-80FE8324411E}"/>
            </c:ext>
          </c:extLst>
        </c:ser>
        <c:ser>
          <c:idx val="48"/>
          <c:order val="48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(VAL)'!$C$37:$D$37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F003-441B-ADCB-80FE8324411E}"/>
            </c:ext>
          </c:extLst>
        </c:ser>
        <c:ser>
          <c:idx val="49"/>
          <c:order val="49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(VAL)'!$D$37:$F$37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003-441B-ADCB-80FE8324411E}"/>
            </c:ext>
          </c:extLst>
        </c:ser>
        <c:ser>
          <c:idx val="50"/>
          <c:order val="50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(VAL)'!$F$37:$G$37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003-441B-ADCB-80FE8324411E}"/>
            </c:ext>
          </c:extLst>
        </c:ser>
        <c:ser>
          <c:idx val="51"/>
          <c:order val="51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F003-441B-ADCB-80FE8324411E}"/>
            </c:ext>
          </c:extLst>
        </c:ser>
        <c:ser>
          <c:idx val="52"/>
          <c:order val="52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(VAL)'!$C$38:$D$38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003-441B-ADCB-80FE8324411E}"/>
            </c:ext>
          </c:extLst>
        </c:ser>
        <c:ser>
          <c:idx val="53"/>
          <c:order val="53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(VAL)'!$D$38:$F$38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003-441B-ADCB-80FE8324411E}"/>
            </c:ext>
          </c:extLst>
        </c:ser>
        <c:ser>
          <c:idx val="54"/>
          <c:order val="54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(VAL)'!$F$38:$G$38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003-441B-ADCB-80FE8324411E}"/>
            </c:ext>
          </c:extLst>
        </c:ser>
        <c:ser>
          <c:idx val="55"/>
          <c:order val="55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003-441B-ADCB-80FE8324411E}"/>
            </c:ext>
          </c:extLst>
        </c:ser>
        <c:ser>
          <c:idx val="56"/>
          <c:order val="56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(VAL)'!$C$39:$D$39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F003-441B-ADCB-80FE8324411E}"/>
            </c:ext>
          </c:extLst>
        </c:ser>
        <c:ser>
          <c:idx val="57"/>
          <c:order val="57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(VAL)'!$D$39:$F$39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F003-441B-ADCB-80FE8324411E}"/>
            </c:ext>
          </c:extLst>
        </c:ser>
        <c:ser>
          <c:idx val="58"/>
          <c:order val="58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(VAL)'!$F$39:$G$39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F003-441B-ADCB-80FE8324411E}"/>
            </c:ext>
          </c:extLst>
        </c:ser>
        <c:ser>
          <c:idx val="59"/>
          <c:order val="59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F003-441B-ADCB-80FE83244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BD-4163-80C7-7C06376DFD38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BD-4163-80C7-7C06376DF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4-432A-A4AF-B4D6BC4C9440}"/>
            </c:ext>
          </c:extLst>
        </c:ser>
        <c:ser>
          <c:idx val="1"/>
          <c:order val="1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94-432A-A4AF-B4D6BC4C9440}"/>
            </c:ext>
          </c:extLst>
        </c:ser>
        <c:ser>
          <c:idx val="2"/>
          <c:order val="2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94-432A-A4AF-B4D6BC4C9440}"/>
            </c:ext>
          </c:extLst>
        </c:ser>
        <c:ser>
          <c:idx val="3"/>
          <c:order val="3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94-432A-A4AF-B4D6BC4C9440}"/>
            </c:ext>
          </c:extLst>
        </c:ser>
        <c:ser>
          <c:idx val="4"/>
          <c:order val="4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Bars'!$C$10:$D$10</c:f>
              <c:numCache>
                <c:formatCode>0.000</c:formatCode>
                <c:ptCount val="2"/>
                <c:pt idx="0">
                  <c:v>0.26345717766173965</c:v>
                </c:pt>
                <c:pt idx="1">
                  <c:v>0.28505614865203066</c:v>
                </c:pt>
              </c:numCache>
            </c:numRef>
          </c:xVal>
          <c:yVal>
            <c:numRef>
              <c:f>'03_Anti-Roll Bars'!$C$27:$D$27</c:f>
              <c:numCache>
                <c:formatCode>0.0%</c:formatCode>
                <c:ptCount val="2"/>
                <c:pt idx="0">
                  <c:v>0.56895061963994775</c:v>
                </c:pt>
                <c:pt idx="1">
                  <c:v>0.53361196178135128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94-432A-A4AF-B4D6BC4C9440}"/>
            </c:ext>
          </c:extLst>
        </c:ser>
        <c:ser>
          <c:idx val="5"/>
          <c:order val="5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Bars'!$D$10:$F$10</c:f>
              <c:numCache>
                <c:formatCode>0.000</c:formatCode>
                <c:ptCount val="3"/>
                <c:pt idx="0">
                  <c:v>0.28505614865203066</c:v>
                </c:pt>
                <c:pt idx="1">
                  <c:v>0.29411661069186923</c:v>
                </c:pt>
                <c:pt idx="2">
                  <c:v>0.30373174605604181</c:v>
                </c:pt>
              </c:numCache>
            </c:numRef>
          </c:xVal>
          <c:yVal>
            <c:numRef>
              <c:f>'03_Anti-Roll Bars'!$D$27:$F$27</c:f>
              <c:numCache>
                <c:formatCode>0.0%</c:formatCode>
                <c:ptCount val="3"/>
                <c:pt idx="0">
                  <c:v>0.53361196178135128</c:v>
                </c:pt>
                <c:pt idx="1">
                  <c:v>0.5187878959399469</c:v>
                </c:pt>
                <c:pt idx="2">
                  <c:v>0.5030563141413823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94-432A-A4AF-B4D6BC4C9440}"/>
            </c:ext>
          </c:extLst>
        </c:ser>
        <c:ser>
          <c:idx val="6"/>
          <c:order val="6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Bars'!$F$10:$G$10</c:f>
              <c:numCache>
                <c:formatCode>0.000</c:formatCode>
                <c:ptCount val="2"/>
                <c:pt idx="0">
                  <c:v>0.30373174605604181</c:v>
                </c:pt>
              </c:numCache>
            </c:numRef>
          </c:xVal>
          <c:yVal>
            <c:numRef>
              <c:f>'03_Anti-Roll Bars'!$F$27:$G$27</c:f>
              <c:numCache>
                <c:formatCode>0.0%</c:formatCode>
                <c:ptCount val="2"/>
                <c:pt idx="0">
                  <c:v>0.5030563141413823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194-432A-A4AF-B4D6BC4C9440}"/>
            </c:ext>
          </c:extLst>
        </c:ser>
        <c:ser>
          <c:idx val="7"/>
          <c:order val="7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194-432A-A4AF-B4D6BC4C9440}"/>
            </c:ext>
          </c:extLst>
        </c:ser>
        <c:ser>
          <c:idx val="8"/>
          <c:order val="8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194-432A-A4AF-B4D6BC4C9440}"/>
            </c:ext>
          </c:extLst>
        </c:ser>
        <c:ser>
          <c:idx val="9"/>
          <c:order val="9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194-432A-A4AF-B4D6BC4C9440}"/>
            </c:ext>
          </c:extLst>
        </c:ser>
        <c:ser>
          <c:idx val="10"/>
          <c:order val="10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194-432A-A4AF-B4D6BC4C9440}"/>
            </c:ext>
          </c:extLst>
        </c:ser>
        <c:ser>
          <c:idx val="11"/>
          <c:order val="11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194-432A-A4AF-B4D6BC4C9440}"/>
            </c:ext>
          </c:extLst>
        </c:ser>
        <c:ser>
          <c:idx val="12"/>
          <c:order val="12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Bars'!$C$12:$D$12</c:f>
              <c:numCache>
                <c:formatCode>0.000</c:formatCode>
                <c:ptCount val="2"/>
                <c:pt idx="0">
                  <c:v>0.26858840991747529</c:v>
                </c:pt>
                <c:pt idx="1">
                  <c:v>0.29107282207483731</c:v>
                </c:pt>
              </c:numCache>
            </c:numRef>
          </c:xVal>
          <c:yVal>
            <c:numRef>
              <c:f>'03_Anti-Roll Bars'!$C$29:$D$29</c:f>
              <c:numCache>
                <c:formatCode>0.0%</c:formatCode>
                <c:ptCount val="2"/>
                <c:pt idx="0">
                  <c:v>0.58003180481519323</c:v>
                </c:pt>
                <c:pt idx="1">
                  <c:v>0.54487489690386537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194-432A-A4AF-B4D6BC4C9440}"/>
            </c:ext>
          </c:extLst>
        </c:ser>
        <c:ser>
          <c:idx val="13"/>
          <c:order val="13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Bars'!$D$12:$F$12</c:f>
              <c:numCache>
                <c:formatCode>0.000</c:formatCode>
                <c:ptCount val="3"/>
                <c:pt idx="0">
                  <c:v>0.29107282207483731</c:v>
                </c:pt>
                <c:pt idx="1">
                  <c:v>0.30052614056765081</c:v>
                </c:pt>
                <c:pt idx="2">
                  <c:v>0.31057207456419372</c:v>
                </c:pt>
              </c:numCache>
            </c:numRef>
          </c:xVal>
          <c:yVal>
            <c:numRef>
              <c:f>'03_Anti-Roll Bars'!$D$29:$F$29</c:f>
              <c:numCache>
                <c:formatCode>0.0%</c:formatCode>
                <c:ptCount val="3"/>
                <c:pt idx="0">
                  <c:v>0.54487489690386537</c:v>
                </c:pt>
                <c:pt idx="1">
                  <c:v>0.53009356993910972</c:v>
                </c:pt>
                <c:pt idx="2">
                  <c:v>0.5143856219648465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194-432A-A4AF-B4D6BC4C9440}"/>
            </c:ext>
          </c:extLst>
        </c:ser>
        <c:ser>
          <c:idx val="14"/>
          <c:order val="14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Bars'!$F$12:$G$12</c:f>
              <c:numCache>
                <c:formatCode>0.000</c:formatCode>
                <c:ptCount val="2"/>
                <c:pt idx="0">
                  <c:v>0.31057207456419372</c:v>
                </c:pt>
              </c:numCache>
            </c:numRef>
          </c:xVal>
          <c:yVal>
            <c:numRef>
              <c:f>'03_Anti-Roll Bars'!$F$29:$G$29</c:f>
              <c:numCache>
                <c:formatCode>0.0%</c:formatCode>
                <c:ptCount val="2"/>
                <c:pt idx="0">
                  <c:v>0.5143856219648465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194-432A-A4AF-B4D6BC4C9440}"/>
            </c:ext>
          </c:extLst>
        </c:ser>
        <c:ser>
          <c:idx val="15"/>
          <c:order val="15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194-432A-A4AF-B4D6BC4C9440}"/>
            </c:ext>
          </c:extLst>
        </c:ser>
        <c:ser>
          <c:idx val="16"/>
          <c:order val="16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Bars'!$C$13:$D$13</c:f>
              <c:numCache>
                <c:formatCode>0.000</c:formatCode>
                <c:ptCount val="2"/>
                <c:pt idx="0">
                  <c:v>0.27130540582856189</c:v>
                </c:pt>
                <c:pt idx="1">
                  <c:v>0.2942664601024278</c:v>
                </c:pt>
              </c:numCache>
            </c:numRef>
          </c:xVal>
          <c:yVal>
            <c:numRef>
              <c:f>'03_Anti-Roll Bars'!$C$30:$D$30</c:f>
              <c:numCache>
                <c:formatCode>0.0%</c:formatCode>
                <c:ptCount val="2"/>
                <c:pt idx="0">
                  <c:v>0.585899310574162</c:v>
                </c:pt>
                <c:pt idx="1">
                  <c:v>0.55085323998181945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194-432A-A4AF-B4D6BC4C9440}"/>
            </c:ext>
          </c:extLst>
        </c:ser>
        <c:ser>
          <c:idx val="17"/>
          <c:order val="17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Bars'!$D$13:$F$13</c:f>
              <c:numCache>
                <c:formatCode>0.000</c:formatCode>
                <c:ptCount val="3"/>
                <c:pt idx="0">
                  <c:v>0.2942664601024278</c:v>
                </c:pt>
                <c:pt idx="1">
                  <c:v>0.30393180356491523</c:v>
                </c:pt>
                <c:pt idx="2">
                  <c:v>0.31421060923251942</c:v>
                </c:pt>
              </c:numCache>
            </c:numRef>
          </c:xVal>
          <c:yVal>
            <c:numRef>
              <c:f>'03_Anti-Roll Bars'!$D$30:$F$30</c:f>
              <c:numCache>
                <c:formatCode>0.0%</c:formatCode>
                <c:ptCount val="3"/>
                <c:pt idx="0">
                  <c:v>0.55085323998181945</c:v>
                </c:pt>
                <c:pt idx="1">
                  <c:v>0.53610076802450546</c:v>
                </c:pt>
                <c:pt idx="2">
                  <c:v>0.52041195231355442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194-432A-A4AF-B4D6BC4C9440}"/>
            </c:ext>
          </c:extLst>
        </c:ser>
        <c:ser>
          <c:idx val="18"/>
          <c:order val="18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Bars'!$F$13:$G$13</c:f>
              <c:numCache>
                <c:formatCode>0.000</c:formatCode>
                <c:ptCount val="2"/>
                <c:pt idx="0">
                  <c:v>0.31421060923251942</c:v>
                </c:pt>
              </c:numCache>
            </c:numRef>
          </c:xVal>
          <c:yVal>
            <c:numRef>
              <c:f>'03_Anti-Roll Bars'!$F$30:$G$30</c:f>
              <c:numCache>
                <c:formatCode>0.0%</c:formatCode>
                <c:ptCount val="2"/>
                <c:pt idx="0">
                  <c:v>0.52041195231355442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194-432A-A4AF-B4D6BC4C9440}"/>
            </c:ext>
          </c:extLst>
        </c:ser>
        <c:ser>
          <c:idx val="19"/>
          <c:order val="19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194-432A-A4AF-B4D6BC4C9440}"/>
            </c:ext>
          </c:extLst>
        </c:ser>
        <c:ser>
          <c:idx val="20"/>
          <c:order val="20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Bars'!$C$14:$D$14</c:f>
              <c:numCache>
                <c:formatCode>0.000</c:formatCode>
                <c:ptCount val="2"/>
                <c:pt idx="0">
                  <c:v>0.27582749516324356</c:v>
                </c:pt>
                <c:pt idx="1">
                  <c:v>0.29959387886125183</c:v>
                </c:pt>
              </c:numCache>
            </c:numRef>
          </c:xVal>
          <c:yVal>
            <c:numRef>
              <c:f>'03_Anti-Roll Bars'!$C$31:$D$31</c:f>
              <c:numCache>
                <c:formatCode>0.0%</c:formatCode>
                <c:ptCount val="2"/>
                <c:pt idx="0">
                  <c:v>0.59566501728926879</c:v>
                </c:pt>
                <c:pt idx="1">
                  <c:v>0.56082592216590743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194-432A-A4AF-B4D6BC4C9440}"/>
            </c:ext>
          </c:extLst>
        </c:ser>
        <c:ser>
          <c:idx val="21"/>
          <c:order val="21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Bars'!$D$14:$F$14</c:f>
              <c:numCache>
                <c:formatCode>0.000</c:formatCode>
                <c:ptCount val="3"/>
                <c:pt idx="0">
                  <c:v>0.29959387886125183</c:v>
                </c:pt>
                <c:pt idx="1">
                  <c:v>0.30961831510758814</c:v>
                </c:pt>
                <c:pt idx="2">
                  <c:v>0.32029210220955551</c:v>
                </c:pt>
              </c:numCache>
            </c:numRef>
          </c:xVal>
          <c:yVal>
            <c:numRef>
              <c:f>'03_Anti-Roll Bars'!$D$31:$F$31</c:f>
              <c:numCache>
                <c:formatCode>0.0%</c:formatCode>
                <c:ptCount val="3"/>
                <c:pt idx="0">
                  <c:v>0.56082592216590743</c:v>
                </c:pt>
                <c:pt idx="1">
                  <c:v>0.54613112078670345</c:v>
                </c:pt>
                <c:pt idx="2">
                  <c:v>0.53048443726525907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194-432A-A4AF-B4D6BC4C9440}"/>
            </c:ext>
          </c:extLst>
        </c:ser>
        <c:ser>
          <c:idx val="22"/>
          <c:order val="22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Bars'!$F$14:$G$14</c:f>
              <c:numCache>
                <c:formatCode>0.000</c:formatCode>
                <c:ptCount val="2"/>
                <c:pt idx="0">
                  <c:v>0.32029210220955551</c:v>
                </c:pt>
              </c:numCache>
            </c:numRef>
          </c:xVal>
          <c:yVal>
            <c:numRef>
              <c:f>'03_Anti-Roll Bars'!$F$31:$G$31</c:f>
              <c:numCache>
                <c:formatCode>0.0%</c:formatCode>
                <c:ptCount val="2"/>
                <c:pt idx="0">
                  <c:v>0.53048443726525907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194-432A-A4AF-B4D6BC4C9440}"/>
            </c:ext>
          </c:extLst>
        </c:ser>
        <c:ser>
          <c:idx val="23"/>
          <c:order val="23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194-432A-A4AF-B4D6BC4C9440}"/>
            </c:ext>
          </c:extLst>
        </c:ser>
        <c:ser>
          <c:idx val="24"/>
          <c:order val="24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194-432A-A4AF-B4D6BC4C9440}"/>
            </c:ext>
          </c:extLst>
        </c:ser>
        <c:ser>
          <c:idx val="25"/>
          <c:order val="25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194-432A-A4AF-B4D6BC4C9440}"/>
            </c:ext>
          </c:extLst>
        </c:ser>
        <c:ser>
          <c:idx val="26"/>
          <c:order val="26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194-432A-A4AF-B4D6BC4C9440}"/>
            </c:ext>
          </c:extLst>
        </c:ser>
        <c:ser>
          <c:idx val="27"/>
          <c:order val="27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194-432A-A4AF-B4D6BC4C9440}"/>
            </c:ext>
          </c:extLst>
        </c:ser>
        <c:ser>
          <c:idx val="28"/>
          <c:order val="28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Bars'!$C$16:$D$16</c:f>
              <c:numCache>
                <c:formatCode>0.000</c:formatCode>
                <c:ptCount val="2"/>
                <c:pt idx="0">
                  <c:v>0.27963557890423052</c:v>
                </c:pt>
                <c:pt idx="1">
                  <c:v>0.30409182434384663</c:v>
                </c:pt>
              </c:numCache>
            </c:numRef>
          </c:xVal>
          <c:yVal>
            <c:numRef>
              <c:f>'03_Anti-Roll Bars'!$C$33:$D$33</c:f>
              <c:numCache>
                <c:formatCode>0.0%</c:formatCode>
                <c:ptCount val="2"/>
                <c:pt idx="0">
                  <c:v>0.60388878869418794</c:v>
                </c:pt>
                <c:pt idx="1">
                  <c:v>0.56924586863716509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194-432A-A4AF-B4D6BC4C9440}"/>
            </c:ext>
          </c:extLst>
        </c:ser>
        <c:ser>
          <c:idx val="29"/>
          <c:order val="29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Bars'!$D$16:$F$16</c:f>
              <c:numCache>
                <c:formatCode>0.000</c:formatCode>
                <c:ptCount val="3"/>
                <c:pt idx="0">
                  <c:v>0.30409182434384663</c:v>
                </c:pt>
                <c:pt idx="1">
                  <c:v>0.31442471415648343</c:v>
                </c:pt>
                <c:pt idx="2">
                  <c:v>0.32543835930757614</c:v>
                </c:pt>
              </c:numCache>
            </c:numRef>
          </c:xVal>
          <c:yVal>
            <c:numRef>
              <c:f>'03_Anti-Roll Bars'!$D$33:$F$33</c:f>
              <c:numCache>
                <c:formatCode>0.0%</c:formatCode>
                <c:ptCount val="3"/>
                <c:pt idx="0">
                  <c:v>0.56924586863716509</c:v>
                </c:pt>
                <c:pt idx="1">
                  <c:v>0.55460905626868306</c:v>
                </c:pt>
                <c:pt idx="2">
                  <c:v>0.53900793591487495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194-432A-A4AF-B4D6BC4C9440}"/>
            </c:ext>
          </c:extLst>
        </c:ser>
        <c:ser>
          <c:idx val="30"/>
          <c:order val="30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Bars'!$F$16:$G$16</c:f>
              <c:numCache>
                <c:formatCode>0.000</c:formatCode>
                <c:ptCount val="2"/>
                <c:pt idx="0">
                  <c:v>0.32543835930757614</c:v>
                </c:pt>
              </c:numCache>
            </c:numRef>
          </c:xVal>
          <c:yVal>
            <c:numRef>
              <c:f>'03_Anti-Roll Bars'!$F$33:$G$33</c:f>
              <c:numCache>
                <c:formatCode>0.0%</c:formatCode>
                <c:ptCount val="2"/>
                <c:pt idx="0">
                  <c:v>0.53900793591487495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3194-432A-A4AF-B4D6BC4C9440}"/>
            </c:ext>
          </c:extLst>
        </c:ser>
        <c:ser>
          <c:idx val="31"/>
          <c:order val="31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194-432A-A4AF-B4D6BC4C9440}"/>
            </c:ext>
          </c:extLst>
        </c:ser>
        <c:ser>
          <c:idx val="32"/>
          <c:order val="32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Bars'!$C$17:$D$17</c:f>
              <c:numCache>
                <c:formatCode>0.000</c:formatCode>
                <c:ptCount val="2"/>
                <c:pt idx="0">
                  <c:v>0.28346760980292357</c:v>
                </c:pt>
                <c:pt idx="1">
                  <c:v>0.30862888353461171</c:v>
                </c:pt>
              </c:numCache>
            </c:numRef>
          </c:xVal>
          <c:yVal>
            <c:numRef>
              <c:f>'03_Anti-Roll Bars'!$C$34:$D$34</c:f>
              <c:numCache>
                <c:formatCode>0.0%</c:formatCode>
                <c:ptCount val="2"/>
                <c:pt idx="0">
                  <c:v>0.61216427533547468</c:v>
                </c:pt>
                <c:pt idx="1">
                  <c:v>0.57773903416595929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3194-432A-A4AF-B4D6BC4C9440}"/>
            </c:ext>
          </c:extLst>
        </c:ser>
        <c:ser>
          <c:idx val="33"/>
          <c:order val="33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Bars'!$D$17:$F$17</c:f>
              <c:numCache>
                <c:formatCode>0.000</c:formatCode>
                <c:ptCount val="3"/>
                <c:pt idx="0">
                  <c:v>0.30862888353461171</c:v>
                </c:pt>
                <c:pt idx="1">
                  <c:v>0.31927780631950503</c:v>
                </c:pt>
                <c:pt idx="2">
                  <c:v>0.33064020586927945</c:v>
                </c:pt>
              </c:numCache>
            </c:numRef>
          </c:xVal>
          <c:yVal>
            <c:numRef>
              <c:f>'03_Anti-Roll Bars'!$D$34:$F$34</c:f>
              <c:numCache>
                <c:formatCode>0.0%</c:formatCode>
                <c:ptCount val="3"/>
                <c:pt idx="0">
                  <c:v>0.57773903416595929</c:v>
                </c:pt>
                <c:pt idx="1">
                  <c:v>0.5631693530371451</c:v>
                </c:pt>
                <c:pt idx="2">
                  <c:v>0.54762350472531029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3194-432A-A4AF-B4D6BC4C9440}"/>
            </c:ext>
          </c:extLst>
        </c:ser>
        <c:ser>
          <c:idx val="34"/>
          <c:order val="34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Bars'!$F$17:$G$17</c:f>
              <c:numCache>
                <c:formatCode>0.000</c:formatCode>
                <c:ptCount val="2"/>
                <c:pt idx="0">
                  <c:v>0.33064020586927945</c:v>
                </c:pt>
              </c:numCache>
            </c:numRef>
          </c:xVal>
          <c:yVal>
            <c:numRef>
              <c:f>'03_Anti-Roll Bars'!$F$34:$G$34</c:f>
              <c:numCache>
                <c:formatCode>0.0%</c:formatCode>
                <c:ptCount val="2"/>
                <c:pt idx="0">
                  <c:v>0.54762350472531029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3194-432A-A4AF-B4D6BC4C9440}"/>
            </c:ext>
          </c:extLst>
        </c:ser>
        <c:ser>
          <c:idx val="35"/>
          <c:order val="35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194-432A-A4AF-B4D6BC4C9440}"/>
            </c:ext>
          </c:extLst>
        </c:ser>
        <c:ser>
          <c:idx val="36"/>
          <c:order val="36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Bars'!$C$18:$D$18</c:f>
              <c:numCache>
                <c:formatCode>0.000</c:formatCode>
                <c:ptCount val="2"/>
                <c:pt idx="0">
                  <c:v>0.2866434921455086</c:v>
                </c:pt>
                <c:pt idx="1">
                  <c:v>0.31239733358249783</c:v>
                </c:pt>
              </c:numCache>
            </c:numRef>
          </c:xVal>
          <c:yVal>
            <c:numRef>
              <c:f>'03_Anti-Roll Bars'!$C$35:$D$35</c:f>
              <c:numCache>
                <c:formatCode>0.0%</c:formatCode>
                <c:ptCount val="2"/>
                <c:pt idx="0">
                  <c:v>0.61902277219919399</c:v>
                </c:pt>
                <c:pt idx="1">
                  <c:v>0.58479339883213699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3194-432A-A4AF-B4D6BC4C9440}"/>
            </c:ext>
          </c:extLst>
        </c:ser>
        <c:ser>
          <c:idx val="37"/>
          <c:order val="37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Bars'!$D$18:$F$18</c:f>
              <c:numCache>
                <c:formatCode>0.000</c:formatCode>
                <c:ptCount val="3"/>
                <c:pt idx="0">
                  <c:v>0.31239733358249783</c:v>
                </c:pt>
                <c:pt idx="1">
                  <c:v>0.32331249562830144</c:v>
                </c:pt>
                <c:pt idx="2">
                  <c:v>0.33496912343972518</c:v>
                </c:pt>
              </c:numCache>
            </c:numRef>
          </c:xVal>
          <c:yVal>
            <c:numRef>
              <c:f>'03_Anti-Roll Bars'!$D$35:$F$35</c:f>
              <c:numCache>
                <c:formatCode>0.0%</c:formatCode>
                <c:ptCount val="3"/>
                <c:pt idx="0">
                  <c:v>0.58479339883213699</c:v>
                </c:pt>
                <c:pt idx="1">
                  <c:v>0.57028608123674607</c:v>
                </c:pt>
                <c:pt idx="2">
                  <c:v>0.55479328314158594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194-432A-A4AF-B4D6BC4C9440}"/>
            </c:ext>
          </c:extLst>
        </c:ser>
        <c:ser>
          <c:idx val="38"/>
          <c:order val="38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Bars'!$F$18:$G$18</c:f>
              <c:numCache>
                <c:formatCode>0.000</c:formatCode>
                <c:ptCount val="2"/>
                <c:pt idx="0">
                  <c:v>0.33496912343972518</c:v>
                </c:pt>
              </c:numCache>
            </c:numRef>
          </c:xVal>
          <c:yVal>
            <c:numRef>
              <c:f>'03_Anti-Roll Bars'!$F$35:$G$35</c:f>
              <c:numCache>
                <c:formatCode>0.0%</c:formatCode>
                <c:ptCount val="2"/>
                <c:pt idx="0">
                  <c:v>0.55479328314158594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3194-432A-A4AF-B4D6BC4C9440}"/>
            </c:ext>
          </c:extLst>
        </c:ser>
        <c:ser>
          <c:idx val="39"/>
          <c:order val="39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3194-432A-A4AF-B4D6BC4C9440}"/>
            </c:ext>
          </c:extLst>
        </c:ser>
        <c:ser>
          <c:idx val="40"/>
          <c:order val="40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Bars'!$C$23:$D$23</c:f>
              <c:numCache>
                <c:formatCode>0.000</c:formatCode>
                <c:ptCount val="2"/>
                <c:pt idx="0">
                  <c:v>0.31878789118260575</c:v>
                </c:pt>
                <c:pt idx="1">
                  <c:v>0.35096591514776998</c:v>
                </c:pt>
              </c:numCache>
            </c:numRef>
          </c:xVal>
          <c:yVal>
            <c:numRef>
              <c:f>'03_Anti-Roll Bars'!$C$40:$D$40</c:f>
              <c:numCache>
                <c:formatCode>0.0%</c:formatCode>
                <c:ptCount val="2"/>
                <c:pt idx="0">
                  <c:v>0.68844041309410775</c:v>
                </c:pt>
                <c:pt idx="1">
                  <c:v>0.65699200450856388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3194-432A-A4AF-B4D6BC4C9440}"/>
            </c:ext>
          </c:extLst>
        </c:ser>
        <c:ser>
          <c:idx val="41"/>
          <c:order val="41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Bars'!$D$23:$F$23</c:f>
              <c:numCache>
                <c:formatCode>0.000</c:formatCode>
                <c:ptCount val="3"/>
                <c:pt idx="0">
                  <c:v>0.35096591514776998</c:v>
                </c:pt>
                <c:pt idx="1">
                  <c:v>0.36480230844345063</c:v>
                </c:pt>
                <c:pt idx="2">
                  <c:v>0.37971160351452921</c:v>
                </c:pt>
              </c:numCache>
            </c:numRef>
          </c:xVal>
          <c:yVal>
            <c:numRef>
              <c:f>'03_Anti-Roll Bars'!$D$40:$F$40</c:f>
              <c:numCache>
                <c:formatCode>0.0%</c:formatCode>
                <c:ptCount val="3"/>
                <c:pt idx="0">
                  <c:v>0.65699200450856388</c:v>
                </c:pt>
                <c:pt idx="1">
                  <c:v>0.64346934226603725</c:v>
                </c:pt>
                <c:pt idx="2">
                  <c:v>0.62889810558521075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3194-432A-A4AF-B4D6BC4C9440}"/>
            </c:ext>
          </c:extLst>
        </c:ser>
        <c:ser>
          <c:idx val="42"/>
          <c:order val="42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Bars'!$F$23:$G$23</c:f>
              <c:numCache>
                <c:formatCode>0.000</c:formatCode>
                <c:ptCount val="2"/>
                <c:pt idx="0">
                  <c:v>0.37971160351452921</c:v>
                </c:pt>
              </c:numCache>
            </c:numRef>
          </c:xVal>
          <c:yVal>
            <c:numRef>
              <c:f>'03_Anti-Roll Bars'!$F$40:$G$40</c:f>
              <c:numCache>
                <c:formatCode>0.0%</c:formatCode>
                <c:ptCount val="2"/>
                <c:pt idx="0">
                  <c:v>0.62889810558521075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3194-432A-A4AF-B4D6BC4C9440}"/>
            </c:ext>
          </c:extLst>
        </c:ser>
        <c:ser>
          <c:idx val="43"/>
          <c:order val="43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3194-432A-A4AF-B4D6BC4C9440}"/>
            </c:ext>
          </c:extLst>
        </c:ser>
        <c:ser>
          <c:idx val="44"/>
          <c:order val="44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3194-432A-A4AF-B4D6BC4C9440}"/>
            </c:ext>
          </c:extLst>
        </c:ser>
        <c:ser>
          <c:idx val="45"/>
          <c:order val="45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3194-432A-A4AF-B4D6BC4C9440}"/>
            </c:ext>
          </c:extLst>
        </c:ser>
        <c:ser>
          <c:idx val="46"/>
          <c:order val="46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3194-432A-A4AF-B4D6BC4C9440}"/>
            </c:ext>
          </c:extLst>
        </c:ser>
        <c:ser>
          <c:idx val="47"/>
          <c:order val="47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3194-432A-A4AF-B4D6BC4C9440}"/>
            </c:ext>
          </c:extLst>
        </c:ser>
        <c:ser>
          <c:idx val="48"/>
          <c:order val="48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Bars'!$C$20:$D$20</c:f>
              <c:numCache>
                <c:formatCode>0.000</c:formatCode>
                <c:ptCount val="2"/>
                <c:pt idx="0">
                  <c:v>0.29154302739540022</c:v>
                </c:pt>
                <c:pt idx="1">
                  <c:v>0.31822578015032782</c:v>
                </c:pt>
              </c:numCache>
            </c:numRef>
          </c:xVal>
          <c:yVal>
            <c:numRef>
              <c:f>'03_Anti-Roll Bars'!$C$37:$D$37</c:f>
              <c:numCache>
                <c:formatCode>0.0%</c:formatCode>
                <c:ptCount val="2"/>
                <c:pt idx="0">
                  <c:v>0.62960359463536497</c:v>
                </c:pt>
                <c:pt idx="1">
                  <c:v>0.59570398196428365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3194-432A-A4AF-B4D6BC4C9440}"/>
            </c:ext>
          </c:extLst>
        </c:ser>
        <c:ser>
          <c:idx val="49"/>
          <c:order val="49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Bars'!$D$20:$F$20</c:f>
              <c:numCache>
                <c:formatCode>0.000</c:formatCode>
                <c:ptCount val="3"/>
                <c:pt idx="0">
                  <c:v>0.31822578015032782</c:v>
                </c:pt>
                <c:pt idx="1">
                  <c:v>0.32955942165317886</c:v>
                </c:pt>
                <c:pt idx="2">
                  <c:v>0.34167929431134075</c:v>
                </c:pt>
              </c:numCache>
            </c:numRef>
          </c:xVal>
          <c:yVal>
            <c:numRef>
              <c:f>'03_Anti-Roll Bars'!$D$37:$F$37</c:f>
              <c:numCache>
                <c:formatCode>0.0%</c:formatCode>
                <c:ptCount val="3"/>
                <c:pt idx="0">
                  <c:v>0.59570398196428365</c:v>
                </c:pt>
                <c:pt idx="1">
                  <c:v>0.58130494073235572</c:v>
                </c:pt>
                <c:pt idx="2">
                  <c:v>0.56590701711824742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3194-432A-A4AF-B4D6BC4C9440}"/>
            </c:ext>
          </c:extLst>
        </c:ser>
        <c:ser>
          <c:idx val="50"/>
          <c:order val="50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Bars'!$F$20:$G$20</c:f>
              <c:numCache>
                <c:formatCode>0.000</c:formatCode>
                <c:ptCount val="2"/>
                <c:pt idx="0">
                  <c:v>0.34167929431134075</c:v>
                </c:pt>
              </c:numCache>
            </c:numRef>
          </c:xVal>
          <c:yVal>
            <c:numRef>
              <c:f>'03_Anti-Roll Bars'!$F$37:$G$37</c:f>
              <c:numCache>
                <c:formatCode>0.0%</c:formatCode>
                <c:ptCount val="2"/>
                <c:pt idx="0">
                  <c:v>0.56590701711824742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3194-432A-A4AF-B4D6BC4C9440}"/>
            </c:ext>
          </c:extLst>
        </c:ser>
        <c:ser>
          <c:idx val="51"/>
          <c:order val="51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3194-432A-A4AF-B4D6BC4C9440}"/>
            </c:ext>
          </c:extLst>
        </c:ser>
        <c:ser>
          <c:idx val="52"/>
          <c:order val="52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Bars'!$C$21:$D$21</c:f>
              <c:numCache>
                <c:formatCode>0.000</c:formatCode>
                <c:ptCount val="2"/>
                <c:pt idx="0">
                  <c:v>0.29395986442538385</c:v>
                </c:pt>
                <c:pt idx="1">
                  <c:v>0.32110743786674467</c:v>
                </c:pt>
              </c:numCache>
            </c:numRef>
          </c:xVal>
          <c:yVal>
            <c:numRef>
              <c:f>'03_Anti-Roll Bars'!$C$38:$D$38</c:f>
              <c:numCache>
                <c:formatCode>0.0%</c:formatCode>
                <c:ptCount val="2"/>
                <c:pt idx="0">
                  <c:v>0.63482289037815698</c:v>
                </c:pt>
                <c:pt idx="1">
                  <c:v>0.60109831229011923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3194-432A-A4AF-B4D6BC4C9440}"/>
            </c:ext>
          </c:extLst>
        </c:ser>
        <c:ser>
          <c:idx val="53"/>
          <c:order val="53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Bars'!$D$21:$F$21</c:f>
              <c:numCache>
                <c:formatCode>0.000</c:formatCode>
                <c:ptCount val="3"/>
                <c:pt idx="0">
                  <c:v>0.32110743786674467</c:v>
                </c:pt>
                <c:pt idx="1">
                  <c:v>0.33265099265170134</c:v>
                </c:pt>
                <c:pt idx="2">
                  <c:v>0.34500358457541441</c:v>
                </c:pt>
              </c:numCache>
            </c:numRef>
          </c:xVal>
          <c:yVal>
            <c:numRef>
              <c:f>'03_Anti-Roll Bars'!$D$38:$F$38</c:f>
              <c:numCache>
                <c:formatCode>0.0%</c:formatCode>
                <c:ptCount val="3"/>
                <c:pt idx="0">
                  <c:v>0.60109831229011923</c:v>
                </c:pt>
                <c:pt idx="1">
                  <c:v>0.58675811663323263</c:v>
                </c:pt>
                <c:pt idx="2">
                  <c:v>0.57141287954157305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3194-432A-A4AF-B4D6BC4C9440}"/>
            </c:ext>
          </c:extLst>
        </c:ser>
        <c:ser>
          <c:idx val="54"/>
          <c:order val="54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Bars'!$F$21:$G$21</c:f>
              <c:numCache>
                <c:formatCode>0.000</c:formatCode>
                <c:ptCount val="2"/>
                <c:pt idx="0">
                  <c:v>0.34500358457541441</c:v>
                </c:pt>
              </c:numCache>
            </c:numRef>
          </c:xVal>
          <c:yVal>
            <c:numRef>
              <c:f>'03_Anti-Roll Bars'!$F$38:$G$38</c:f>
              <c:numCache>
                <c:formatCode>0.0%</c:formatCode>
                <c:ptCount val="2"/>
                <c:pt idx="0">
                  <c:v>0.57141287954157305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3194-432A-A4AF-B4D6BC4C9440}"/>
            </c:ext>
          </c:extLst>
        </c:ser>
        <c:ser>
          <c:idx val="55"/>
          <c:order val="55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3194-432A-A4AF-B4D6BC4C9440}"/>
            </c:ext>
          </c:extLst>
        </c:ser>
        <c:ser>
          <c:idx val="56"/>
          <c:order val="56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Bars'!$C$22:$D$22</c:f>
              <c:numCache>
                <c:formatCode>0.000</c:formatCode>
                <c:ptCount val="2"/>
                <c:pt idx="0">
                  <c:v>0.296612968830679</c:v>
                </c:pt>
                <c:pt idx="1">
                  <c:v>0.32427584609893734</c:v>
                </c:pt>
              </c:numCache>
            </c:numRef>
          </c:xVal>
          <c:yVal>
            <c:numRef>
              <c:f>'03_Anti-Roll Bars'!$C$39:$D$39</c:f>
              <c:numCache>
                <c:formatCode>0.0%</c:formatCode>
                <c:ptCount val="2"/>
                <c:pt idx="0">
                  <c:v>0.64055241883040603</c:v>
                </c:pt>
                <c:pt idx="1">
                  <c:v>0.6070294263548377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3194-432A-A4AF-B4D6BC4C9440}"/>
            </c:ext>
          </c:extLst>
        </c:ser>
        <c:ser>
          <c:idx val="57"/>
          <c:order val="57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Bars'!$D$22:$F$22</c:f>
              <c:numCache>
                <c:formatCode>0.000</c:formatCode>
                <c:ptCount val="3"/>
                <c:pt idx="0">
                  <c:v>0.32427584609893734</c:v>
                </c:pt>
                <c:pt idx="1">
                  <c:v>0.33605250559690547</c:v>
                </c:pt>
                <c:pt idx="2">
                  <c:v>0.34866379988229868</c:v>
                </c:pt>
              </c:numCache>
            </c:numRef>
          </c:xVal>
          <c:yVal>
            <c:numRef>
              <c:f>'03_Anti-Roll Bars'!$D$39:$F$39</c:f>
              <c:numCache>
                <c:formatCode>0.0%</c:formatCode>
                <c:ptCount val="3"/>
                <c:pt idx="0">
                  <c:v>0.6070294263548377</c:v>
                </c:pt>
                <c:pt idx="1">
                  <c:v>0.59275799450379474</c:v>
                </c:pt>
                <c:pt idx="2">
                  <c:v>0.57747511849141708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3194-432A-A4AF-B4D6BC4C9440}"/>
            </c:ext>
          </c:extLst>
        </c:ser>
        <c:ser>
          <c:idx val="58"/>
          <c:order val="58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Bars'!$F$22:$G$22</c:f>
              <c:numCache>
                <c:formatCode>0.000</c:formatCode>
                <c:ptCount val="2"/>
                <c:pt idx="0">
                  <c:v>0.34866379988229868</c:v>
                </c:pt>
              </c:numCache>
            </c:numRef>
          </c:xVal>
          <c:yVal>
            <c:numRef>
              <c:f>'03_Anti-Roll Bars'!$F$39:$G$39</c:f>
              <c:numCache>
                <c:formatCode>0.0%</c:formatCode>
                <c:ptCount val="2"/>
                <c:pt idx="0">
                  <c:v>0.57747511849141708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3194-432A-A4AF-B4D6BC4C9440}"/>
            </c:ext>
          </c:extLst>
        </c:ser>
        <c:ser>
          <c:idx val="59"/>
          <c:order val="59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3194-432A-A4AF-B4D6BC4C9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Bump-stops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'05_Bump-stops'!$D$7</c:f>
              <c:strCache>
                <c:ptCount val="1"/>
                <c:pt idx="0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'05_Bump-stops'!$D$8:$D$15</c:f>
              <c:numCache>
                <c:formatCode>General</c:formatCode>
                <c:ptCount val="8"/>
                <c:pt idx="0">
                  <c:v>0</c:v>
                </c:pt>
                <c:pt idx="1">
                  <c:v>389</c:v>
                </c:pt>
                <c:pt idx="2">
                  <c:v>680</c:v>
                </c:pt>
                <c:pt idx="3">
                  <c:v>990</c:v>
                </c:pt>
                <c:pt idx="4">
                  <c:v>1382</c:v>
                </c:pt>
                <c:pt idx="5">
                  <c:v>1959</c:v>
                </c:pt>
                <c:pt idx="6">
                  <c:v>2987</c:v>
                </c:pt>
                <c:pt idx="7">
                  <c:v>5046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0DC-4AA2-857D-BF70AF908277}"/>
            </c:ext>
          </c:extLst>
        </c:ser>
        <c:ser>
          <c:idx val="2"/>
          <c:order val="2"/>
          <c:tx>
            <c:strRef>
              <c:f>'05_Bump-stops'!$E$7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'05_Bump-stops'!$E$8:$E$15</c:f>
              <c:numCache>
                <c:formatCode>General</c:formatCode>
                <c:ptCount val="8"/>
                <c:pt idx="0">
                  <c:v>0</c:v>
                </c:pt>
                <c:pt idx="1">
                  <c:v>497</c:v>
                </c:pt>
                <c:pt idx="2">
                  <c:v>920</c:v>
                </c:pt>
                <c:pt idx="3">
                  <c:v>1423</c:v>
                </c:pt>
                <c:pt idx="4">
                  <c:v>2065</c:v>
                </c:pt>
                <c:pt idx="5">
                  <c:v>2963</c:v>
                </c:pt>
                <c:pt idx="6">
                  <c:v>4409</c:v>
                </c:pt>
                <c:pt idx="7">
                  <c:v>7133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0DC-4AA2-857D-BF70AF908277}"/>
            </c:ext>
          </c:extLst>
        </c:ser>
        <c:ser>
          <c:idx val="4"/>
          <c:order val="4"/>
          <c:tx>
            <c:strRef>
              <c:f>'05_Bump-stops'!$G$7</c:f>
              <c:strCache>
                <c:ptCount val="1"/>
                <c:pt idx="0">
                  <c:v>71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'05_Bump-stops'!$G$8:$G$15</c:f>
              <c:numCache>
                <c:formatCode>General</c:formatCode>
                <c:ptCount val="8"/>
                <c:pt idx="0">
                  <c:v>0</c:v>
                </c:pt>
                <c:pt idx="1">
                  <c:v>223</c:v>
                </c:pt>
                <c:pt idx="2">
                  <c:v>430</c:v>
                </c:pt>
                <c:pt idx="3">
                  <c:v>651</c:v>
                </c:pt>
                <c:pt idx="4">
                  <c:v>919</c:v>
                </c:pt>
                <c:pt idx="5">
                  <c:v>1297</c:v>
                </c:pt>
                <c:pt idx="6">
                  <c:v>1939</c:v>
                </c:pt>
                <c:pt idx="7">
                  <c:v>3295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0DC-4AA2-857D-BF70AF908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92416"/>
        <c:axId val="19046553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'05_Bump-stops'!$C$7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'05_Bump-stops'!$C$8:$C$15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248</c:v>
                      </c:pt>
                      <c:pt idx="2">
                        <c:v>490</c:v>
                      </c:pt>
                      <c:pt idx="3">
                        <c:v>771</c:v>
                      </c:pt>
                      <c:pt idx="4">
                        <c:v>1122</c:v>
                      </c:pt>
                      <c:pt idx="5">
                        <c:v>1597</c:v>
                      </c:pt>
                      <c:pt idx="6">
                        <c:v>2320</c:v>
                      </c:pt>
                      <c:pt idx="7">
                        <c:v>3672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90DC-4AA2-857D-BF70AF90827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'05_Bump-stops'!$F$7</c15:sqref>
                        </c15:formulaRef>
                      </c:ext>
                    </c:extLst>
                    <c:strCache>
                      <c:ptCount val="1"/>
                      <c:pt idx="0">
                        <c:v>61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'05_Bump-stops'!$F$8:$F$15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163</c:v>
                      </c:pt>
                      <c:pt idx="2">
                        <c:v>311</c:v>
                      </c:pt>
                      <c:pt idx="3">
                        <c:v>484</c:v>
                      </c:pt>
                      <c:pt idx="4">
                        <c:v>691</c:v>
                      </c:pt>
                      <c:pt idx="5">
                        <c:v>961</c:v>
                      </c:pt>
                      <c:pt idx="6">
                        <c:v>1354</c:v>
                      </c:pt>
                      <c:pt idx="7">
                        <c:v>1967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0DC-4AA2-857D-BF70AF90827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'05_Bump-stops'!$H$7</c15:sqref>
                        </c15:formulaRef>
                      </c:ext>
                    </c:extLst>
                    <c:strCache>
                      <c:ptCount val="1"/>
                      <c:pt idx="0">
                        <c:v>81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'05_Bump-stops'!$H$8:$H$15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309</c:v>
                      </c:pt>
                      <c:pt idx="2">
                        <c:v>582</c:v>
                      </c:pt>
                      <c:pt idx="3">
                        <c:v>892</c:v>
                      </c:pt>
                      <c:pt idx="4">
                        <c:v>1304</c:v>
                      </c:pt>
                      <c:pt idx="5">
                        <c:v>1924</c:v>
                      </c:pt>
                      <c:pt idx="6">
                        <c:v>3025</c:v>
                      </c:pt>
                      <c:pt idx="7">
                        <c:v>5309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0DC-4AA2-857D-BF70AF908277}"/>
                  </c:ext>
                </c:extLst>
              </c15:ser>
            </c15:filteredScatterSeries>
          </c:ext>
        </c:extLst>
      </c:scatterChart>
      <c:valAx>
        <c:axId val="10979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465536"/>
        <c:crosses val="autoZero"/>
        <c:crossBetween val="midCat"/>
      </c:valAx>
      <c:valAx>
        <c:axId val="19046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79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114.41328831821855</c:v>
              </c:pt>
              <c:pt idx="1">
                <c:v>148.01719118091208</c:v>
              </c:pt>
              <c:pt idx="2">
                <c:v>180.9099003322259</c:v>
              </c:pt>
              <c:pt idx="3">
                <c:v>220.96852112007596</c:v>
              </c:pt>
              <c:pt idx="4">
                <c:v>263.01516279069762</c:v>
              </c:pt>
              <c:pt idx="5">
                <c:v>299.58679495016611</c:v>
              </c:pt>
              <c:pt idx="6">
                <c:v>339.7959867109634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2D7-44B3-9495-8AAF5DD080A8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114.41947315460529</c:v>
              </c:pt>
              <c:pt idx="1">
                <c:v>148.01719118091208</c:v>
              </c:pt>
              <c:pt idx="2">
                <c:v>180.9099003322259</c:v>
              </c:pt>
              <c:pt idx="3">
                <c:v>212.97437579987354</c:v>
              </c:pt>
              <c:pt idx="4">
                <c:v>247.44515243009619</c:v>
              </c:pt>
              <c:pt idx="5">
                <c:v>283.16332225913618</c:v>
              </c:pt>
              <c:pt idx="6">
                <c:v>325.63782059800661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2D7-44B3-9495-8AAF5DD08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5797.2972972972984</c:v>
              </c:pt>
              <c:pt idx="2">
                <c:v>6136.3636363636351</c:v>
              </c:pt>
              <c:pt idx="3">
                <c:v>6140.350877192981</c:v>
              </c:pt>
              <c:pt idx="4">
                <c:v>6301.0204081632673</c:v>
              </c:pt>
              <c:pt idx="5">
                <c:v>6584.4481605351157</c:v>
              </c:pt>
              <c:pt idx="6">
                <c:v>6612.5000000000009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F524-40AF-B6C3-221BBD69DA47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5797.6106816584697</c:v>
              </c:pt>
              <c:pt idx="2">
                <c:v>6136.3636363636351</c:v>
              </c:pt>
              <c:pt idx="3">
                <c:v>6370.8333333333321</c:v>
              </c:pt>
              <c:pt idx="4">
                <c:v>6455.1994767822116</c:v>
              </c:pt>
              <c:pt idx="5">
                <c:v>6553.9513677811547</c:v>
              </c:pt>
              <c:pt idx="6">
                <c:v>6521.7391304347821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524-40AF-B6C3-221BBD69D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1702.7027027027016</c:v>
              </c:pt>
              <c:pt idx="2">
                <c:v>1363.6363636363649</c:v>
              </c:pt>
              <c:pt idx="3">
                <c:v>1359.649122807019</c:v>
              </c:pt>
              <c:pt idx="4">
                <c:v>1198.9795918367327</c:v>
              </c:pt>
              <c:pt idx="5">
                <c:v>915.55183946488432</c:v>
              </c:pt>
              <c:pt idx="6">
                <c:v>887.49999999999909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F89-43A8-B77D-00D3C98BA6AC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1702.3893183415303</c:v>
              </c:pt>
              <c:pt idx="2">
                <c:v>1363.6363636363649</c:v>
              </c:pt>
              <c:pt idx="3">
                <c:v>1129.1666666666679</c:v>
              </c:pt>
              <c:pt idx="4">
                <c:v>1044.8005232177884</c:v>
              </c:pt>
              <c:pt idx="5">
                <c:v>946.04863221884534</c:v>
              </c:pt>
              <c:pt idx="6">
                <c:v>978.26086956521794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F89-43A8-B77D-00D3C98BA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RPM</a:t>
            </a:r>
            <a:r>
              <a:rPr lang="en-GB" b="1" baseline="0"/>
              <a:t> vs Speed [km/h]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'08_Gearbox'!$Z$2:$AA$2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'08_Gearbox'!$Z$4:$Z$17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114.41328831821855</c:v>
                </c:pt>
                <c:pt idx="2">
                  <c:v>114.41328831821855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220.96852112007596</c:v>
                </c:pt>
                <c:pt idx="8">
                  <c:v>220.96852112007596</c:v>
                </c:pt>
                <c:pt idx="9">
                  <c:v>263.01516279069762</c:v>
                </c:pt>
                <c:pt idx="10">
                  <c:v>263.01516279069762</c:v>
                </c:pt>
                <c:pt idx="11">
                  <c:v>299.58679495016611</c:v>
                </c:pt>
                <c:pt idx="12">
                  <c:v>299.58679495016611</c:v>
                </c:pt>
                <c:pt idx="13">
                  <c:v>339.7959867109634</c:v>
                </c:pt>
              </c:numCache>
            </c:numRef>
          </c:xVal>
          <c:yVal>
            <c:numRef>
              <c:f>'08_Gearbox'!$AA$4:$AA$17</c:f>
              <c:numCache>
                <c:formatCode>General</c:formatCode>
                <c:ptCount val="14"/>
                <c:pt idx="0">
                  <c:v>0</c:v>
                </c:pt>
                <c:pt idx="1">
                  <c:v>7500</c:v>
                </c:pt>
                <c:pt idx="2" formatCode="0">
                  <c:v>5797.2972972972984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6140.350877192981</c:v>
                </c:pt>
                <c:pt idx="7">
                  <c:v>7500</c:v>
                </c:pt>
                <c:pt idx="8" formatCode="0">
                  <c:v>6301.0204081632673</c:v>
                </c:pt>
                <c:pt idx="9">
                  <c:v>7500</c:v>
                </c:pt>
                <c:pt idx="10" formatCode="0">
                  <c:v>6584.4481605351157</c:v>
                </c:pt>
                <c:pt idx="11">
                  <c:v>7500</c:v>
                </c:pt>
                <c:pt idx="12" formatCode="0">
                  <c:v>6612.5000000000009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7A-4666-8F6B-7BA886790D72}"/>
            </c:ext>
          </c:extLst>
        </c:ser>
        <c:ser>
          <c:idx val="1"/>
          <c:order val="1"/>
          <c:tx>
            <c:strRef>
              <c:f>'08_Gearbox'!$AC$2:$AD$2</c:f>
              <c:strCache>
                <c:ptCount val="1"/>
                <c:pt idx="0">
                  <c:v>Opt 2 - Short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'08_Gearbox'!$AC$4:$AC$17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114.41947315460529</c:v>
                </c:pt>
                <c:pt idx="2">
                  <c:v>114.41947315460529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212.97437579987354</c:v>
                </c:pt>
                <c:pt idx="8">
                  <c:v>212.97437579987354</c:v>
                </c:pt>
                <c:pt idx="9">
                  <c:v>247.44515243009619</c:v>
                </c:pt>
                <c:pt idx="10">
                  <c:v>247.44515243009619</c:v>
                </c:pt>
                <c:pt idx="11">
                  <c:v>283.16332225913618</c:v>
                </c:pt>
                <c:pt idx="12">
                  <c:v>283.16332225913618</c:v>
                </c:pt>
                <c:pt idx="13">
                  <c:v>325.63782059800661</c:v>
                </c:pt>
              </c:numCache>
            </c:numRef>
          </c:xVal>
          <c:yVal>
            <c:numRef>
              <c:f>'08_Gearbox'!$AD$4:$AD$17</c:f>
              <c:numCache>
                <c:formatCode>General</c:formatCode>
                <c:ptCount val="14"/>
                <c:pt idx="0">
                  <c:v>5</c:v>
                </c:pt>
                <c:pt idx="1">
                  <c:v>7500</c:v>
                </c:pt>
                <c:pt idx="2" formatCode="0">
                  <c:v>5797.6106816584697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6370.8333333333321</c:v>
                </c:pt>
                <c:pt idx="7">
                  <c:v>7500</c:v>
                </c:pt>
                <c:pt idx="8" formatCode="0">
                  <c:v>6455.1994767822116</c:v>
                </c:pt>
                <c:pt idx="9">
                  <c:v>7500</c:v>
                </c:pt>
                <c:pt idx="10" formatCode="0">
                  <c:v>6553.9513677811547</c:v>
                </c:pt>
                <c:pt idx="11">
                  <c:v>7500</c:v>
                </c:pt>
                <c:pt idx="12" formatCode="0">
                  <c:v>6521.7391304347821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7A-4666-8F6B-7BA886790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Ramp options (Available)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0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068171942083397E-2"/>
                  <c:y val="-3.8012365841374442E-2"/>
                </c:manualLayout>
              </c:layout>
              <c:tx>
                <c:rich>
                  <a:bodyPr/>
                  <a:lstStyle/>
                  <a:p>
                    <a:fld id="{1169AA1C-DC4C-4C33-9084-CFCF517B0967}" type="CELLRANGE">
                      <a:rPr lang="en-US"/>
                      <a:pPr/>
                      <a:t>[CELLRANGE]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E1AACE1-46C8-43E1-811C-C0F6CCEC9923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0491484-D59D-4339-8BDC-4EC838C13B62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3D26B86-5775-47D3-9958-88753F5C454E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5A460FB-85C2-47D2-976A-923683A7FA5E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14BF39A-A87C-410C-ADB6-8929C9376732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'09_Differential'!$F$5:$F$18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xVal>
          <c:yVal>
            <c:numRef>
              <c:f>'09_Differential'!$G$5:$G$18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{"1","2","3","4","5","6","7","8","9","10","11","12","13","14"}</c15:f>
                <c15:dlblRangeCache>
                  <c:ptCount val="14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FFC4-436F-840B-03E55B7421C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BE59B5B-5759-462B-9C2B-FCE3571961D1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8565B2D-9695-466B-A08E-90542421B104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0C01D3A-84BD-4706-9CB1-C89DBD87AE5A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7D21807-A810-4E69-AE32-9C51DCA971AE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91F08A3-9D84-4EF2-9D2D-1CDE7A936584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5BE4616-409F-4B96-8C3D-98D1AE479B31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'09_Differential'!$F$21:$F$34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xVal>
          <c:yVal>
            <c:numRef>
              <c:f>'09_Differential'!$G$21:$G$34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{"15","16","17","18","19","20","21","22","23","24","25","26","27","28"}</c15:f>
                <c15:dlblRangeCache>
                  <c:ptCount val="14"/>
                  <c:pt idx="0">
                    <c:v>15</c:v>
                  </c:pt>
                  <c:pt idx="1">
                    <c:v>16</c:v>
                  </c:pt>
                  <c:pt idx="2">
                    <c:v>17</c:v>
                  </c:pt>
                  <c:pt idx="3">
                    <c:v>18</c:v>
                  </c:pt>
                  <c:pt idx="4">
                    <c:v>19</c:v>
                  </c:pt>
                  <c:pt idx="5">
                    <c:v>20</c:v>
                  </c:pt>
                  <c:pt idx="6">
                    <c:v>21</c:v>
                  </c:pt>
                  <c:pt idx="7">
                    <c:v>22</c:v>
                  </c:pt>
                  <c:pt idx="8">
                    <c:v>23</c:v>
                  </c:pt>
                  <c:pt idx="9">
                    <c:v>24</c:v>
                  </c:pt>
                  <c:pt idx="10">
                    <c:v>25</c:v>
                  </c:pt>
                  <c:pt idx="11">
                    <c:v>26</c:v>
                  </c:pt>
                  <c:pt idx="12">
                    <c:v>27</c:v>
                  </c:pt>
                  <c:pt idx="13">
                    <c:v>28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D-FFC4-436F-840B-03E55B7421C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48244655"/>
        <c:axId val="1781490031"/>
      </c:scatterChart>
      <c:valAx>
        <c:axId val="204824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Drive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81490031"/>
        <c:crosses val="autoZero"/>
        <c:crossBetween val="midCat"/>
      </c:valAx>
      <c:valAx>
        <c:axId val="178149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Coast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824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Viscous</a:t>
            </a:r>
            <a:r>
              <a:rPr lang="en-GB" b="1" baseline="0"/>
              <a:t> Coupling Characteristic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'09_Differential'!$F$48</c:f>
              <c:strCache>
                <c:ptCount val="1"/>
                <c:pt idx="0">
                  <c:v>Nm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backward val="10"/>
            <c:dispRSqr val="1"/>
            <c:dispEq val="1"/>
            <c:trendlineLbl>
              <c:layout>
                <c:manualLayout>
                  <c:x val="0.11143578061908863"/>
                  <c:y val="0.40236111111111111"/>
                </c:manualLayout>
              </c:layout>
              <c:numFmt formatCode="General" sourceLinked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Lit>
              <c:formatCode>General</c:formatCode>
              <c:ptCount val="5"/>
              <c:pt idx="0">
                <c:v>9.91119005328596</c:v>
              </c:pt>
              <c:pt idx="1">
                <c:v>19.928952042628701</c:v>
              </c:pt>
              <c:pt idx="2">
                <c:v>29.946714031971499</c:v>
              </c:pt>
              <c:pt idx="3">
                <c:v>39.964476021314297</c:v>
              </c:pt>
              <c:pt idx="4">
                <c:v>49.982238010657099</c:v>
              </c:pt>
            </c:numLit>
          </c:xVal>
          <c:yVal>
            <c:numRef>
              <c:f>'09_Differential'!$F$50:$F$54</c:f>
              <c:numCache>
                <c:formatCode>0</c:formatCode>
                <c:ptCount val="5"/>
                <c:pt idx="0">
                  <c:v>48.738738738739002</c:v>
                </c:pt>
                <c:pt idx="1">
                  <c:v>68.558558558558957</c:v>
                </c:pt>
                <c:pt idx="2">
                  <c:v>85.22522522522577</c:v>
                </c:pt>
                <c:pt idx="3">
                  <c:v>97.837837837838237</c:v>
                </c:pt>
                <c:pt idx="4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D9-4B5B-BF53-F8C94E22E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60464"/>
        <c:axId val="52106272"/>
      </c:scatterChart>
      <c:valAx>
        <c:axId val="6076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106272"/>
        <c:crosses val="autoZero"/>
        <c:crossBetween val="midCat"/>
      </c:valAx>
      <c:valAx>
        <c:axId val="5210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076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Torque</a:t>
            </a:r>
            <a:r>
              <a:rPr lang="en-GB" b="1" baseline="0"/>
              <a:t> [Nm]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'10_Engine'!$E$18:$E$37</c:f>
              <c:numCache>
                <c:formatCode>0</c:formatCode>
                <c:ptCount val="20"/>
                <c:pt idx="0">
                  <c:v>569.77417486971626</c:v>
                </c:pt>
                <c:pt idx="1">
                  <c:v>595.95679867072829</c:v>
                </c:pt>
                <c:pt idx="2">
                  <c:v>613.58811040339708</c:v>
                </c:pt>
                <c:pt idx="3">
                  <c:v>629.80891719745227</c:v>
                </c:pt>
                <c:pt idx="4">
                  <c:v>646.74179323860858</c:v>
                </c:pt>
                <c:pt idx="5">
                  <c:v>662.42038216560513</c:v>
                </c:pt>
                <c:pt idx="6">
                  <c:v>676.97907188353054</c:v>
                </c:pt>
                <c:pt idx="7">
                  <c:v>690.53371403470237</c:v>
                </c:pt>
                <c:pt idx="8">
                  <c:v>701.48619957537153</c:v>
                </c:pt>
                <c:pt idx="9">
                  <c:v>710.08835011300596</c:v>
                </c:pt>
                <c:pt idx="10">
                  <c:v>714.96815286624201</c:v>
                </c:pt>
                <c:pt idx="11">
                  <c:v>716.46400308820694</c:v>
                </c:pt>
                <c:pt idx="12">
                  <c:v>711.87710753091051</c:v>
                </c:pt>
                <c:pt idx="13">
                  <c:v>706.09645131938123</c:v>
                </c:pt>
                <c:pt idx="14">
                  <c:v>696.39065817409767</c:v>
                </c:pt>
                <c:pt idx="15">
                  <c:v>684.45515579273535</c:v>
                </c:pt>
                <c:pt idx="16">
                  <c:v>670.46597385182702</c:v>
                </c:pt>
                <c:pt idx="17">
                  <c:v>650.66144047035766</c:v>
                </c:pt>
                <c:pt idx="18">
                  <c:v>630.57324840764329</c:v>
                </c:pt>
                <c:pt idx="19">
                  <c:v>530.68199471803644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2-45A7-83A1-A2BF0C267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834575"/>
        <c:axId val="2073848719"/>
      </c:scatterChart>
      <c:valAx>
        <c:axId val="2073834575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48719"/>
        <c:crosses val="autoZero"/>
        <c:crossBetween val="midCat"/>
      </c:valAx>
      <c:valAx>
        <c:axId val="2073848719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3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Power [kW]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'10_Engine'!$D$18:$D$37</c:f>
              <c:numCache>
                <c:formatCode>General</c:formatCode>
                <c:ptCount val="20"/>
                <c:pt idx="0">
                  <c:v>246</c:v>
                </c:pt>
                <c:pt idx="1">
                  <c:v>269</c:v>
                </c:pt>
                <c:pt idx="2">
                  <c:v>289</c:v>
                </c:pt>
                <c:pt idx="3">
                  <c:v>309</c:v>
                </c:pt>
                <c:pt idx="4">
                  <c:v>330</c:v>
                </c:pt>
                <c:pt idx="5">
                  <c:v>351</c:v>
                </c:pt>
                <c:pt idx="6">
                  <c:v>372</c:v>
                </c:pt>
                <c:pt idx="7">
                  <c:v>393</c:v>
                </c:pt>
                <c:pt idx="8">
                  <c:v>413</c:v>
                </c:pt>
                <c:pt idx="9">
                  <c:v>432</c:v>
                </c:pt>
                <c:pt idx="10">
                  <c:v>449</c:v>
                </c:pt>
                <c:pt idx="11">
                  <c:v>464</c:v>
                </c:pt>
                <c:pt idx="12">
                  <c:v>475</c:v>
                </c:pt>
                <c:pt idx="13">
                  <c:v>485</c:v>
                </c:pt>
                <c:pt idx="14">
                  <c:v>492</c:v>
                </c:pt>
                <c:pt idx="15">
                  <c:v>497</c:v>
                </c:pt>
                <c:pt idx="16">
                  <c:v>500</c:v>
                </c:pt>
                <c:pt idx="17">
                  <c:v>498</c:v>
                </c:pt>
                <c:pt idx="18">
                  <c:v>495</c:v>
                </c:pt>
                <c:pt idx="19">
                  <c:v>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A6-4884-95D3-4B4BF3A05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303983"/>
        <c:axId val="1766295663"/>
      </c:scatterChart>
      <c:valAx>
        <c:axId val="1766303983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295663"/>
        <c:crosses val="autoZero"/>
        <c:crossBetween val="midCat"/>
      </c:valAx>
      <c:valAx>
        <c:axId val="1766295663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303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'08b_Gearbox_Long-Proposal'!$F$11:$F$17</c:f>
              <c:numCache>
                <c:formatCode>0</c:formatCode>
                <c:ptCount val="7"/>
                <c:pt idx="0">
                  <c:v>114.41328831821855</c:v>
                </c:pt>
                <c:pt idx="1">
                  <c:v>148.01719118091208</c:v>
                </c:pt>
                <c:pt idx="2">
                  <c:v>180.9099003322259</c:v>
                </c:pt>
                <c:pt idx="3">
                  <c:v>220.96852112007596</c:v>
                </c:pt>
                <c:pt idx="4">
                  <c:v>263.01516279069762</c:v>
                </c:pt>
                <c:pt idx="5">
                  <c:v>298.47646250963027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B0-47F4-93F7-B266D65A89BA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'08b_Gearbox_Long-Proposal'!$K$11:$K$17</c:f>
              <c:numCache>
                <c:formatCode>0</c:formatCode>
                <c:ptCount val="7"/>
                <c:pt idx="0">
                  <c:v>123.21431049654306</c:v>
                </c:pt>
                <c:pt idx="1">
                  <c:v>157.88500392630624</c:v>
                </c:pt>
                <c:pt idx="2">
                  <c:v>197.35625490788283</c:v>
                </c:pt>
                <c:pt idx="3">
                  <c:v>238.80106843853821</c:v>
                </c:pt>
                <c:pt idx="4">
                  <c:v>269.49336877076416</c:v>
                </c:pt>
                <c:pt idx="5">
                  <c:v>303.9286325581395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B0-47F4-93F7-B266D65A8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'08b_Gearbox_Long-Proposal'!$G$11:$G$17</c:f>
              <c:numCache>
                <c:formatCode>0</c:formatCode>
                <c:ptCount val="7"/>
                <c:pt idx="1">
                  <c:v>5797.2972972972984</c:v>
                </c:pt>
                <c:pt idx="2">
                  <c:v>6136.3636363636351</c:v>
                </c:pt>
                <c:pt idx="3">
                  <c:v>6140.350877192981</c:v>
                </c:pt>
                <c:pt idx="4">
                  <c:v>6301.0204081632673</c:v>
                </c:pt>
                <c:pt idx="5">
                  <c:v>6608.9423076923067</c:v>
                </c:pt>
                <c:pt idx="6">
                  <c:v>6599.4500458295151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31-458D-9510-29EF8E9E554D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'08b_Gearbox_Long-Proposal'!$L$11:$L$17</c:f>
              <c:numCache>
                <c:formatCode>0</c:formatCode>
                <c:ptCount val="7"/>
                <c:pt idx="1">
                  <c:v>5853.0405405405409</c:v>
                </c:pt>
                <c:pt idx="2">
                  <c:v>5999.9999999999991</c:v>
                </c:pt>
                <c:pt idx="3">
                  <c:v>6198.3471074380168</c:v>
                </c:pt>
                <c:pt idx="4">
                  <c:v>6645.8333333333321</c:v>
                </c:pt>
                <c:pt idx="5">
                  <c:v>6650.246305418721</c:v>
                </c:pt>
                <c:pt idx="6">
                  <c:v>6720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31-458D-9510-29EF8E9E5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'08b_Gearbox_Long-Proposal'!$H$11:$H$17</c:f>
              <c:numCache>
                <c:formatCode>0</c:formatCode>
                <c:ptCount val="7"/>
                <c:pt idx="1">
                  <c:v>1702.7027027027016</c:v>
                </c:pt>
                <c:pt idx="2">
                  <c:v>1363.6363636363649</c:v>
                </c:pt>
                <c:pt idx="3">
                  <c:v>1359.649122807019</c:v>
                </c:pt>
                <c:pt idx="4">
                  <c:v>1198.9795918367327</c:v>
                </c:pt>
                <c:pt idx="5">
                  <c:v>891.05769230769329</c:v>
                </c:pt>
                <c:pt idx="6">
                  <c:v>900.54995417048485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EF-44EF-B9ED-7E35711ECDD8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'08b_Gearbox_Long-Proposal'!$M$11:$M$17</c:f>
              <c:numCache>
                <c:formatCode>0</c:formatCode>
                <c:ptCount val="7"/>
                <c:pt idx="1">
                  <c:v>1646.9594594594591</c:v>
                </c:pt>
                <c:pt idx="2">
                  <c:v>1500.0000000000009</c:v>
                </c:pt>
                <c:pt idx="3">
                  <c:v>1301.6528925619832</c:v>
                </c:pt>
                <c:pt idx="4">
                  <c:v>854.16666666666788</c:v>
                </c:pt>
                <c:pt idx="5">
                  <c:v>849.75369458127898</c:v>
                </c:pt>
                <c:pt idx="6">
                  <c:v>780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EF-44EF-B9ED-7E35711EC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Loadcell vs Scale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LoadCell!$C$3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LoadCell!$C$4:$C$13</c:f>
              <c:numCache>
                <c:formatCode>General</c:formatCode>
                <c:ptCount val="10"/>
                <c:pt idx="0">
                  <c:v>0</c:v>
                </c:pt>
                <c:pt idx="1">
                  <c:v>53</c:v>
                </c:pt>
                <c:pt idx="2">
                  <c:v>79.5</c:v>
                </c:pt>
                <c:pt idx="3">
                  <c:v>107</c:v>
                </c:pt>
                <c:pt idx="4">
                  <c:v>138</c:v>
                </c:pt>
                <c:pt idx="5">
                  <c:v>164</c:v>
                </c:pt>
                <c:pt idx="6">
                  <c:v>203</c:v>
                </c:pt>
                <c:pt idx="7">
                  <c:v>228</c:v>
                </c:pt>
              </c:numCache>
            </c:numRef>
          </c:xVal>
          <c:yVal>
            <c:numRef>
              <c:f>LoadCell!$G$4:$G$13</c:f>
              <c:numCache>
                <c:formatCode>General</c:formatCode>
                <c:ptCount val="10"/>
                <c:pt idx="0">
                  <c:v>-730</c:v>
                </c:pt>
                <c:pt idx="1">
                  <c:v>20</c:v>
                </c:pt>
                <c:pt idx="2">
                  <c:v>200</c:v>
                </c:pt>
                <c:pt idx="3">
                  <c:v>630</c:v>
                </c:pt>
                <c:pt idx="4">
                  <c:v>1070</c:v>
                </c:pt>
                <c:pt idx="5">
                  <c:v>1460</c:v>
                </c:pt>
                <c:pt idx="6">
                  <c:v>2030</c:v>
                </c:pt>
                <c:pt idx="7">
                  <c:v>2400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9BF-445B-82B9-F7B0820B3CF6}"/>
            </c:ext>
          </c:extLst>
        </c:ser>
        <c:ser>
          <c:idx val="1"/>
          <c:order val="1"/>
          <c:tx>
            <c:strRef>
              <c:f>LoadCell!$D$3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LoadCell!$D$4:$D$13</c:f>
              <c:numCache>
                <c:formatCode>General</c:formatCode>
                <c:ptCount val="10"/>
                <c:pt idx="0">
                  <c:v>0</c:v>
                </c:pt>
                <c:pt idx="1">
                  <c:v>85</c:v>
                </c:pt>
                <c:pt idx="2">
                  <c:v>119</c:v>
                </c:pt>
                <c:pt idx="3">
                  <c:v>153.5</c:v>
                </c:pt>
                <c:pt idx="4">
                  <c:v>186.5</c:v>
                </c:pt>
                <c:pt idx="5">
                  <c:v>214.5</c:v>
                </c:pt>
                <c:pt idx="6">
                  <c:v>256</c:v>
                </c:pt>
                <c:pt idx="7">
                  <c:v>279</c:v>
                </c:pt>
              </c:numCache>
            </c:numRef>
          </c:xVal>
          <c:yVal>
            <c:numRef>
              <c:f>LoadCell!$H$4:$H$13</c:f>
              <c:numCache>
                <c:formatCode>General</c:formatCode>
                <c:ptCount val="10"/>
                <c:pt idx="0">
                  <c:v>-795</c:v>
                </c:pt>
                <c:pt idx="1">
                  <c:v>280</c:v>
                </c:pt>
                <c:pt idx="2">
                  <c:v>760</c:v>
                </c:pt>
                <c:pt idx="3">
                  <c:v>1295</c:v>
                </c:pt>
                <c:pt idx="4">
                  <c:v>1760</c:v>
                </c:pt>
                <c:pt idx="5">
                  <c:v>2160</c:v>
                </c:pt>
                <c:pt idx="6">
                  <c:v>2750</c:v>
                </c:pt>
                <c:pt idx="7">
                  <c:v>3085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9BF-445B-82B9-F7B0820B3CF6}"/>
            </c:ext>
          </c:extLst>
        </c:ser>
        <c:ser>
          <c:idx val="2"/>
          <c:order val="2"/>
          <c:tx>
            <c:strRef>
              <c:f>LoadCell!$E$3</c:f>
              <c:strCache>
                <c:ptCount val="1"/>
                <c:pt idx="0">
                  <c:v>RL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LoadCell!$E$4:$E$13</c:f>
              <c:numCache>
                <c:formatCode>General</c:formatCode>
                <c:ptCount val="10"/>
                <c:pt idx="0">
                  <c:v>0</c:v>
                </c:pt>
                <c:pt idx="1">
                  <c:v>79</c:v>
                </c:pt>
                <c:pt idx="2">
                  <c:v>116</c:v>
                </c:pt>
                <c:pt idx="3">
                  <c:v>161</c:v>
                </c:pt>
                <c:pt idx="4">
                  <c:v>199</c:v>
                </c:pt>
                <c:pt idx="5">
                  <c:v>233.5</c:v>
                </c:pt>
                <c:pt idx="6">
                  <c:v>285.5</c:v>
                </c:pt>
                <c:pt idx="7">
                  <c:v>347.5</c:v>
                </c:pt>
              </c:numCache>
            </c:numRef>
          </c:xVal>
          <c:yVal>
            <c:numRef>
              <c:f>LoadCell!$I$4:$I$13</c:f>
              <c:numCache>
                <c:formatCode>General</c:formatCode>
                <c:ptCount val="10"/>
                <c:pt idx="0">
                  <c:v>-1430</c:v>
                </c:pt>
                <c:pt idx="1">
                  <c:v>240</c:v>
                </c:pt>
                <c:pt idx="2">
                  <c:v>1010</c:v>
                </c:pt>
                <c:pt idx="3">
                  <c:v>2000</c:v>
                </c:pt>
                <c:pt idx="4">
                  <c:v>2870</c:v>
                </c:pt>
                <c:pt idx="5">
                  <c:v>3640</c:v>
                </c:pt>
                <c:pt idx="6">
                  <c:v>4800</c:v>
                </c:pt>
                <c:pt idx="7">
                  <c:v>6320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9BF-445B-82B9-F7B0820B3CF6}"/>
            </c:ext>
          </c:extLst>
        </c:ser>
        <c:ser>
          <c:idx val="3"/>
          <c:order val="3"/>
          <c:tx>
            <c:strRef>
              <c:f>LoadCell!$F$3</c:f>
              <c:strCache>
                <c:ptCount val="1"/>
                <c:pt idx="0">
                  <c:v>RR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LoadCell!$F$4:$F$13</c:f>
              <c:numCache>
                <c:formatCode>General</c:formatCode>
                <c:ptCount val="10"/>
                <c:pt idx="0">
                  <c:v>0</c:v>
                </c:pt>
                <c:pt idx="1">
                  <c:v>51.5</c:v>
                </c:pt>
                <c:pt idx="2">
                  <c:v>79</c:v>
                </c:pt>
                <c:pt idx="3">
                  <c:v>116</c:v>
                </c:pt>
                <c:pt idx="4">
                  <c:v>156</c:v>
                </c:pt>
                <c:pt idx="5">
                  <c:v>190</c:v>
                </c:pt>
                <c:pt idx="6">
                  <c:v>242</c:v>
                </c:pt>
                <c:pt idx="7">
                  <c:v>304</c:v>
                </c:pt>
              </c:numCache>
            </c:numRef>
          </c:xVal>
          <c:yVal>
            <c:numRef>
              <c:f>LoadCell!$J$4:$J$13</c:f>
              <c:numCache>
                <c:formatCode>General</c:formatCode>
                <c:ptCount val="10"/>
                <c:pt idx="0">
                  <c:v>-1300</c:v>
                </c:pt>
                <c:pt idx="1">
                  <c:v>-130</c:v>
                </c:pt>
                <c:pt idx="2">
                  <c:v>330</c:v>
                </c:pt>
                <c:pt idx="3">
                  <c:v>1240</c:v>
                </c:pt>
                <c:pt idx="4">
                  <c:v>2110</c:v>
                </c:pt>
                <c:pt idx="5">
                  <c:v>2870</c:v>
                </c:pt>
                <c:pt idx="6">
                  <c:v>4050</c:v>
                </c:pt>
                <c:pt idx="7">
                  <c:v>5480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9BF-445B-82B9-F7B0820B3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055343"/>
        <c:axId val="1436072399"/>
      </c:scatterChart>
      <c:valAx>
        <c:axId val="143605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72399"/>
        <c:crosses val="autoZero"/>
        <c:crossBetween val="midCat"/>
      </c:valAx>
      <c:valAx>
        <c:axId val="143607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55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TC_DRY!$B$13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TC_DRY!$C$13:$R$13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TC_DRY!$B$14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TC_DRY!$C$14:$R$14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TC_DRY!$B$15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TC_DRY!$C$15:$R$15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TC_DRY!$B$16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TC_DRY!$C$16:$R$16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TC_DRY!$B$17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TC_DRY!$C$17:$R$17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TC_DRY!$C$12:$C$17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TC_DRY!$D$12:$D$17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TC_DRY!$E$12:$E$17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TC_DRY!$F$12:$F$17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TC_DRY!$G$12:$G$17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TC_DRY!$H$12:$H$17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TC_DRY!$I$12:$I$17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TC_DRY!$J$12:$J$17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TC_DRY!$K$12:$K$17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TC_DRY!$L$12:$L$17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TC_DRY!$M$12:$M$17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TC_DRY!$N$12:$N$17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TC_DRY!$O$12:$O$17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TC_DRY!$P$12:$P$17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TC_DRY!$Q$12:$Q$17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TC_DRY!$R$12:$R$17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TC_DRY!$C$21:$C$26</c:f>
              <c:numCache>
                <c:formatCode>0.0</c:formatCode>
                <c:ptCount val="6"/>
                <c:pt idx="0">
                  <c:v>4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TC_DRY!$D$21:$D$26</c:f>
              <c:numCache>
                <c:formatCode>0.0</c:formatCode>
                <c:ptCount val="6"/>
                <c:pt idx="0">
                  <c:v>4</c:v>
                </c:pt>
                <c:pt idx="1">
                  <c:v>9.0666666666666664</c:v>
                </c:pt>
                <c:pt idx="2">
                  <c:v>10</c:v>
                </c:pt>
                <c:pt idx="3">
                  <c:v>9.0666666666666664</c:v>
                </c:pt>
                <c:pt idx="4">
                  <c:v>8</c:v>
                </c:pt>
                <c:pt idx="5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TC_DRY!$E$21:$E$26</c:f>
              <c:numCache>
                <c:formatCode>0.0</c:formatCode>
                <c:ptCount val="6"/>
                <c:pt idx="0">
                  <c:v>4</c:v>
                </c:pt>
                <c:pt idx="1">
                  <c:v>7.9333333333333336</c:v>
                </c:pt>
                <c:pt idx="2">
                  <c:v>10</c:v>
                </c:pt>
                <c:pt idx="3">
                  <c:v>9.6333333333333329</c:v>
                </c:pt>
                <c:pt idx="4">
                  <c:v>8.5</c:v>
                </c:pt>
                <c:pt idx="5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TC_DRY!$F$21:$F$26</c:f>
              <c:numCache>
                <c:formatCode>0.0</c:formatCode>
                <c:ptCount val="6"/>
                <c:pt idx="0">
                  <c:v>4</c:v>
                </c:pt>
                <c:pt idx="1">
                  <c:v>6</c:v>
                </c:pt>
                <c:pt idx="2">
                  <c:v>10</c:v>
                </c:pt>
                <c:pt idx="3">
                  <c:v>10</c:v>
                </c:pt>
                <c:pt idx="4">
                  <c:v>8.4</c:v>
                </c:pt>
                <c:pt idx="5">
                  <c:v>7.1999999999999993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TC_DRY!$G$21:$G$26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9.5</c:v>
                </c:pt>
                <c:pt idx="3">
                  <c:v>10</c:v>
                </c:pt>
                <c:pt idx="4">
                  <c:v>8.8666666666666671</c:v>
                </c:pt>
                <c:pt idx="5">
                  <c:v>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TC_DRY!$H$21:$H$26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7.333333333333333</c:v>
                </c:pt>
                <c:pt idx="3">
                  <c:v>10</c:v>
                </c:pt>
                <c:pt idx="4">
                  <c:v>8.6666666666666661</c:v>
                </c:pt>
                <c:pt idx="5">
                  <c:v>7.333333333333333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TC_DRY!$I$21:$I$26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4.8999999999999995</c:v>
                </c:pt>
                <c:pt idx="3">
                  <c:v>9.1</c:v>
                </c:pt>
                <c:pt idx="4">
                  <c:v>9.1</c:v>
                </c:pt>
                <c:pt idx="5">
                  <c:v>7.6999999999999993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TC_DRY!$J$21:$J$26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7.3333333333333339</c:v>
                </c:pt>
                <c:pt idx="4">
                  <c:v>8.8000000000000007</c:v>
                </c:pt>
                <c:pt idx="5">
                  <c:v>8.0666666666666664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TC_DRY!$K$21:$K$26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5.3666666666666663</c:v>
                </c:pt>
                <c:pt idx="4">
                  <c:v>8.4333333333333336</c:v>
                </c:pt>
                <c:pt idx="5">
                  <c:v>8.4333333333333336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TC_DRY!$L$21:$L$26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7.2</c:v>
                </c:pt>
                <c:pt idx="5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TC_DRY!$M$21:$M$26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5.833333333333333</c:v>
                </c:pt>
                <c:pt idx="5">
                  <c:v>7.4999999999999991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TC_DRY!$N$21:$N$26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4.3333333333333339</c:v>
                </c:pt>
                <c:pt idx="5">
                  <c:v>6.9333333333333336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TC_DRY!$O$21:$O$26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TC_DRY!$P$21:$P$26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TC_DRY!$Q$21:$Q$26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TC_DRY!$R$21:$R$26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TC_DRY!$B$22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TC_DRY!$C$22:$R$22</c:f>
              <c:numCache>
                <c:formatCode>0.0</c:formatCode>
                <c:ptCount val="16"/>
                <c:pt idx="0">
                  <c:v>10</c:v>
                </c:pt>
                <c:pt idx="1">
                  <c:v>9.0666666666666664</c:v>
                </c:pt>
                <c:pt idx="2">
                  <c:v>7.9333333333333336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TC_DRY!$B$23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TC_DRY!$C$23:$R$23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9.5</c:v>
                </c:pt>
                <c:pt idx="5">
                  <c:v>7.333333333333333</c:v>
                </c:pt>
                <c:pt idx="6">
                  <c:v>4.8999999999999995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TC_DRY!$B$24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TC_DRY!$C$24:$R$24</c:f>
              <c:numCache>
                <c:formatCode>0.0</c:formatCode>
                <c:ptCount val="16"/>
                <c:pt idx="0">
                  <c:v>8.5</c:v>
                </c:pt>
                <c:pt idx="1">
                  <c:v>9.0666666666666664</c:v>
                </c:pt>
                <c:pt idx="2">
                  <c:v>9.6333333333333329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9.1</c:v>
                </c:pt>
                <c:pt idx="7">
                  <c:v>7.3333333333333339</c:v>
                </c:pt>
                <c:pt idx="8">
                  <c:v>5.3666666666666663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TC_DRY!$B$25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TC_DRY!$C$25:$R$25</c:f>
              <c:numCache>
                <c:formatCode>0.0</c:formatCode>
                <c:ptCount val="16"/>
                <c:pt idx="0">
                  <c:v>7.5</c:v>
                </c:pt>
                <c:pt idx="1">
                  <c:v>8</c:v>
                </c:pt>
                <c:pt idx="2">
                  <c:v>8.5</c:v>
                </c:pt>
                <c:pt idx="3">
                  <c:v>8.4</c:v>
                </c:pt>
                <c:pt idx="4">
                  <c:v>8.8666666666666671</c:v>
                </c:pt>
                <c:pt idx="5">
                  <c:v>8.6666666666666661</c:v>
                </c:pt>
                <c:pt idx="6">
                  <c:v>9.1</c:v>
                </c:pt>
                <c:pt idx="7">
                  <c:v>8.8000000000000007</c:v>
                </c:pt>
                <c:pt idx="8">
                  <c:v>8.4333333333333336</c:v>
                </c:pt>
                <c:pt idx="9">
                  <c:v>7.2</c:v>
                </c:pt>
                <c:pt idx="10">
                  <c:v>5.833333333333333</c:v>
                </c:pt>
                <c:pt idx="11">
                  <c:v>4.3333333333333339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TC_DRY!$B$26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TC_DRY!$C$26:$R$26</c:f>
              <c:numCache>
                <c:formatCode>0.0</c:formatCode>
                <c:ptCount val="16"/>
                <c:pt idx="0">
                  <c:v>6</c:v>
                </c:pt>
                <c:pt idx="1">
                  <c:v>6.4</c:v>
                </c:pt>
                <c:pt idx="2">
                  <c:v>6.8</c:v>
                </c:pt>
                <c:pt idx="3">
                  <c:v>7.1999999999999993</c:v>
                </c:pt>
                <c:pt idx="4">
                  <c:v>7.6</c:v>
                </c:pt>
                <c:pt idx="5">
                  <c:v>7.333333333333333</c:v>
                </c:pt>
                <c:pt idx="6">
                  <c:v>7.6999999999999993</c:v>
                </c:pt>
                <c:pt idx="7">
                  <c:v>8.0666666666666664</c:v>
                </c:pt>
                <c:pt idx="8">
                  <c:v>8.4333333333333336</c:v>
                </c:pt>
                <c:pt idx="9">
                  <c:v>8</c:v>
                </c:pt>
                <c:pt idx="10">
                  <c:v>7.4999999999999991</c:v>
                </c:pt>
                <c:pt idx="11">
                  <c:v>6.9333333333333336</c:v>
                </c:pt>
                <c:pt idx="12">
                  <c:v>5.4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(2)'!$C$12:$R$12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E6-48F6-850D-E52F7FEC9D7E}"/>
            </c:ext>
          </c:extLst>
        </c:ser>
        <c:ser>
          <c:idx val="1"/>
          <c:order val="1"/>
          <c:tx>
            <c:strRef>
              <c:f>'TC_DRY (2)'!$B$13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(2)'!$C$13:$R$13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E6-48F6-850D-E52F7FEC9D7E}"/>
            </c:ext>
          </c:extLst>
        </c:ser>
        <c:ser>
          <c:idx val="2"/>
          <c:order val="2"/>
          <c:tx>
            <c:strRef>
              <c:f>'TC_DRY (2)'!$B$14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(2)'!$C$14:$R$14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E6-48F6-850D-E52F7FEC9D7E}"/>
            </c:ext>
          </c:extLst>
        </c:ser>
        <c:ser>
          <c:idx val="3"/>
          <c:order val="3"/>
          <c:tx>
            <c:strRef>
              <c:f>'TC_DRY (2)'!$B$15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(2)'!$C$15:$R$15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E6-48F6-850D-E52F7FEC9D7E}"/>
            </c:ext>
          </c:extLst>
        </c:ser>
        <c:ser>
          <c:idx val="4"/>
          <c:order val="4"/>
          <c:tx>
            <c:strRef>
              <c:f>'TC_DRY (2)'!$B$16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(2)'!$C$16:$R$16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E6-48F6-850D-E52F7FEC9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(2)'!$C$21:$R$21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F6-47B7-835A-5047B9F70EC5}"/>
            </c:ext>
          </c:extLst>
        </c:ser>
        <c:ser>
          <c:idx val="1"/>
          <c:order val="1"/>
          <c:tx>
            <c:strRef>
              <c:f>'TC_DRY (2)'!$B$22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(2)'!$C$22:$R$22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F6-47B7-835A-5047B9F70EC5}"/>
            </c:ext>
          </c:extLst>
        </c:ser>
        <c:ser>
          <c:idx val="2"/>
          <c:order val="2"/>
          <c:tx>
            <c:strRef>
              <c:f>'TC_DRY (2)'!$B$23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(2)'!$C$23:$R$23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F6-47B7-835A-5047B9F70EC5}"/>
            </c:ext>
          </c:extLst>
        </c:ser>
        <c:ser>
          <c:idx val="3"/>
          <c:order val="3"/>
          <c:tx>
            <c:strRef>
              <c:f>'TC_DRY (2)'!$B$24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(2)'!$C$24:$R$24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F6-47B7-835A-5047B9F70EC5}"/>
            </c:ext>
          </c:extLst>
        </c:ser>
        <c:ser>
          <c:idx val="4"/>
          <c:order val="4"/>
          <c:tx>
            <c:strRef>
              <c:f>'TC_DRY (2)'!$B$25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(2)'!$C$25:$R$25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F6-47B7-835A-5047B9F70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(2)'!$C$11:$C$16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EA-4501-A5F0-BE51BD53A9D8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(2)'!$D$11:$D$16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A-4501-A5F0-BE51BD53A9D8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(2)'!$E$11:$E$16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EA-4501-A5F0-BE51BD53A9D8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(2)'!$F$11:$F$16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EA-4501-A5F0-BE51BD53A9D8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(2)'!$G$11:$G$16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EA-4501-A5F0-BE51BD53A9D8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(2)'!$H$11:$H$16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EA-4501-A5F0-BE51BD53A9D8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EA-4501-A5F0-BE51BD53A9D8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EA-4501-A5F0-BE51BD53A9D8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EA-4501-A5F0-BE51BD53A9D8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EA-4501-A5F0-BE51BD53A9D8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4EA-4501-A5F0-BE51BD53A9D8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4EA-4501-A5F0-BE51BD53A9D8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4EA-4501-A5F0-BE51BD53A9D8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4EA-4501-A5F0-BE51BD53A9D8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4EA-4501-A5F0-BE51BD53A9D8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4EA-4501-A5F0-BE51BD53A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(2)'!$C$20:$C$25</c:f>
              <c:numCache>
                <c:formatCode>0.0</c:formatCode>
                <c:ptCount val="6"/>
                <c:pt idx="0">
                  <c:v>2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99-49FC-A25C-C945BA91CE6D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(2)'!$D$20:$D$25</c:f>
              <c:numCache>
                <c:formatCode>0.0</c:formatCode>
                <c:ptCount val="6"/>
                <c:pt idx="0">
                  <c:v>2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99-49FC-A25C-C945BA91CE6D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(2)'!$E$20:$E$25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99-49FC-A25C-C945BA91CE6D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(2)'!$F$20:$F$25</c:f>
              <c:numCache>
                <c:formatCode>0.0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99-49FC-A25C-C945BA91CE6D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(2)'!$G$20:$G$25</c:f>
              <c:numCache>
                <c:formatCode>0.0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99-49FC-A25C-C945BA91CE6D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99-49FC-A25C-C945BA91CE6D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A99-49FC-A25C-C945BA91CE6D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A99-49FC-A25C-C945BA91CE6D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A99-49FC-A25C-C945BA91CE6D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A99-49FC-A25C-C945BA91CE6D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A99-49FC-A25C-C945BA91CE6D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A99-49FC-A25C-C945BA91CE6D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A99-49FC-A25C-C945BA91CE6D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A99-49FC-A25C-C945BA91CE6D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A99-49FC-A25C-C945BA91CE6D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A99-49FC-A25C-C945BA91C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TC_WET!$C$12:$R$12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1.5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3-4CE3-B948-481684A51C8D}"/>
            </c:ext>
          </c:extLst>
        </c:ser>
        <c:ser>
          <c:idx val="1"/>
          <c:order val="1"/>
          <c:tx>
            <c:strRef>
              <c:f>TC_WET!$B$13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TC_WET!$C$13:$R$13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A3-4CE3-B948-481684A51C8D}"/>
            </c:ext>
          </c:extLst>
        </c:ser>
        <c:ser>
          <c:idx val="2"/>
          <c:order val="2"/>
          <c:tx>
            <c:strRef>
              <c:f>TC_WET!$B$14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TC_WET!$C$14:$R$14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A3-4CE3-B948-481684A51C8D}"/>
            </c:ext>
          </c:extLst>
        </c:ser>
        <c:ser>
          <c:idx val="3"/>
          <c:order val="3"/>
          <c:tx>
            <c:strRef>
              <c:f>TC_WET!$B$15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TC_WET!$C$15:$R$15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A3-4CE3-B948-481684A51C8D}"/>
            </c:ext>
          </c:extLst>
        </c:ser>
        <c:ser>
          <c:idx val="4"/>
          <c:order val="4"/>
          <c:tx>
            <c:strRef>
              <c:f>TC_WET!$B$16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TC_WET!$C$16:$R$16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1.5</c:v>
                </c:pt>
                <c:pt idx="10">
                  <c:v>0.5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A3-4CE3-B948-481684A51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TC_WET!$C$21:$R$21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2C-4A78-8053-DAEB9EDA5EA6}"/>
            </c:ext>
          </c:extLst>
        </c:ser>
        <c:ser>
          <c:idx val="1"/>
          <c:order val="1"/>
          <c:tx>
            <c:strRef>
              <c:f>TC_WET!$B$22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TC_WET!$C$22:$R$22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2C-4A78-8053-DAEB9EDA5EA6}"/>
            </c:ext>
          </c:extLst>
        </c:ser>
        <c:ser>
          <c:idx val="2"/>
          <c:order val="2"/>
          <c:tx>
            <c:strRef>
              <c:f>TC_WET!$B$23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TC_WET!$C$23:$R$23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2C-4A78-8053-DAEB9EDA5EA6}"/>
            </c:ext>
          </c:extLst>
        </c:ser>
        <c:ser>
          <c:idx val="3"/>
          <c:order val="3"/>
          <c:tx>
            <c:strRef>
              <c:f>TC_WET!$B$24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TC_WET!$C$24:$R$24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2C-4A78-8053-DAEB9EDA5EA6}"/>
            </c:ext>
          </c:extLst>
        </c:ser>
        <c:ser>
          <c:idx val="4"/>
          <c:order val="4"/>
          <c:tx>
            <c:strRef>
              <c:f>TC_WET!$B$25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TC_WET!$C$25:$R$25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2C-4A78-8053-DAEB9EDA5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TC_WET!$C$11:$C$16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7E-476B-BE65-BB23F30A7953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TC_WET!$D$11:$D$16</c:f>
              <c:numCache>
                <c:formatCode>0.0</c:formatCode>
                <c:ptCount val="6"/>
                <c:pt idx="0">
                  <c:v>0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7E-476B-BE65-BB23F30A7953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TC_WET!$E$11:$E$16</c:f>
              <c:numCache>
                <c:formatCode>0.0</c:formatCode>
                <c:ptCount val="6"/>
                <c:pt idx="0">
                  <c:v>0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7E-476B-BE65-BB23F30A7953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TC_WET!$F$11:$F$16</c:f>
              <c:numCache>
                <c:formatCode>0.0</c:formatCode>
                <c:ptCount val="6"/>
                <c:pt idx="0">
                  <c:v>0</c:v>
                </c:pt>
                <c:pt idx="1">
                  <c:v>1.5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7E-476B-BE65-BB23F30A7953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TC_WET!$G$11:$G$16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7E-476B-BE65-BB23F30A7953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TC_WET!$H$11:$H$16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7E-476B-BE65-BB23F30A7953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7E-476B-BE65-BB23F30A7953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7E-476B-BE65-BB23F30A7953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7E-476B-BE65-BB23F30A7953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7E-476B-BE65-BB23F30A7953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A7E-476B-BE65-BB23F30A7953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7E-476B-BE65-BB23F30A7953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A7E-476B-BE65-BB23F30A7953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A7E-476B-BE65-BB23F30A7953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A7E-476B-BE65-BB23F30A7953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A7E-476B-BE65-BB23F30A7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TC_WET!$C$20:$C$25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7-49BE-866B-A2B889244632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TC_WET!$D$20:$D$25</c:f>
              <c:numCache>
                <c:formatCode>0.0</c:formatCode>
                <c:ptCount val="6"/>
                <c:pt idx="0">
                  <c:v>2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7-49BE-866B-A2B889244632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TC_WET!$E$20:$E$25</c:f>
              <c:numCache>
                <c:formatCode>0.0</c:formatCode>
                <c:ptCount val="6"/>
                <c:pt idx="0">
                  <c:v>2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F7-49BE-866B-A2B889244632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TC_WET!$F$20:$F$25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F7-49BE-866B-A2B889244632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TC_WET!$G$20:$G$25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F7-49BE-866B-A2B889244632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F7-49BE-866B-A2B889244632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F7-49BE-866B-A2B889244632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F7-49BE-866B-A2B889244632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F7-49BE-866B-A2B889244632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F7-49BE-866B-A2B889244632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4F7-49BE-866B-A2B889244632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F7-49BE-866B-A2B889244632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F7-49BE-866B-A2B889244632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4F7-49BE-866B-A2B889244632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4F7-49BE-866B-A2B889244632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4F7-49BE-866B-A2B889244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image" Target="../media/image7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image" Target="../media/image7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image" Target="../media/image7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image" Target="../media/image7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4" Type="http://schemas.openxmlformats.org/officeDocument/2006/relationships/chart" Target="../charts/chart27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chart" Target="../charts/chart28.xml"/><Relationship Id="rId4" Type="http://schemas.openxmlformats.org/officeDocument/2006/relationships/chart" Target="../charts/chart29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4" Type="http://schemas.openxmlformats.org/officeDocument/2006/relationships/chart" Target="../charts/chart39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4" Type="http://schemas.openxmlformats.org/officeDocument/2006/relationships/chart" Target="../charts/chart43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.xml"/><Relationship Id="rId2" Type="http://schemas.openxmlformats.org/officeDocument/2006/relationships/chart" Target="../charts/chart45.xml"/><Relationship Id="rId1" Type="http://schemas.openxmlformats.org/officeDocument/2006/relationships/chart" Target="../charts/chart44.xml"/><Relationship Id="rId4" Type="http://schemas.openxmlformats.org/officeDocument/2006/relationships/chart" Target="../charts/chart47.xml"/></Relationships>
</file>

<file path=xl/drawings/_rels/drawing26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CB56A7FF-BD12-4F65-B944-B540C265B0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864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869D5F-E0F0-4BFF-855F-1FB0D7C6A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80FAF0-D301-4E73-8C83-E142E1B10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210" y="0"/>
          <a:ext cx="11202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0D21A7F6-94FC-4CD0-9FE6-B838408F90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483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D1B9FC-C8E8-44B9-960C-D41833384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A295D6-9501-44A1-A3D4-E3D8EBBD0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210" y="0"/>
          <a:ext cx="11202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33618</xdr:colOff>
      <xdr:row>18</xdr:row>
      <xdr:rowOff>33617</xdr:rowOff>
    </xdr:from>
    <xdr:to>
      <xdr:col>29</xdr:col>
      <xdr:colOff>324971</xdr:colOff>
      <xdr:row>31</xdr:row>
      <xdr:rowOff>168089</xdr:rowOff>
    </xdr:to>
    <xdr:sp macro="" textlink="">
      <xdr:nvSpPr>
        <xdr:cNvPr id="2" name="Arrow: Curved Left 1">
          <a:extLst>
            <a:ext uri="{FF2B5EF4-FFF2-40B4-BE49-F238E27FC236}">
              <a16:creationId xmlns:a16="http://schemas.microsoft.com/office/drawing/2014/main" id="{6B660A2E-F397-4D98-9F48-54FF8972CA51}"/>
            </a:ext>
          </a:extLst>
        </xdr:cNvPr>
        <xdr:cNvSpPr/>
      </xdr:nvSpPr>
      <xdr:spPr>
        <a:xfrm>
          <a:off x="18601765" y="3316941"/>
          <a:ext cx="1154206" cy="2622177"/>
        </a:xfrm>
        <a:prstGeom prst="curvedLeftArrow">
          <a:avLst>
            <a:gd name="adj1" fmla="val 11189"/>
            <a:gd name="adj2" fmla="val 18713"/>
            <a:gd name="adj3" fmla="val 23058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549088</xdr:colOff>
      <xdr:row>51</xdr:row>
      <xdr:rowOff>100853</xdr:rowOff>
    </xdr:from>
    <xdr:to>
      <xdr:col>27</xdr:col>
      <xdr:colOff>296959</xdr:colOff>
      <xdr:row>66</xdr:row>
      <xdr:rowOff>144558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0EB1EF-D958-443A-B25C-679CEC16D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78441</xdr:colOff>
      <xdr:row>51</xdr:row>
      <xdr:rowOff>100852</xdr:rowOff>
    </xdr:from>
    <xdr:to>
      <xdr:col>38</xdr:col>
      <xdr:colOff>431430</xdr:colOff>
      <xdr:row>66</xdr:row>
      <xdr:rowOff>144557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EEA311-7F60-43A1-8CC9-1DC5B9E9A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549088</xdr:colOff>
      <xdr:row>68</xdr:row>
      <xdr:rowOff>67234</xdr:rowOff>
    </xdr:from>
    <xdr:to>
      <xdr:col>27</xdr:col>
      <xdr:colOff>296959</xdr:colOff>
      <xdr:row>83</xdr:row>
      <xdr:rowOff>110939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225C06-20CC-487D-A0DF-46A9CBF07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44822</xdr:colOff>
      <xdr:row>68</xdr:row>
      <xdr:rowOff>56030</xdr:rowOff>
    </xdr:from>
    <xdr:to>
      <xdr:col>38</xdr:col>
      <xdr:colOff>397811</xdr:colOff>
      <xdr:row>83</xdr:row>
      <xdr:rowOff>99735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F44EDA-ED5D-49C8-8A72-3F48E72AA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61631</xdr:colOff>
      <xdr:row>26</xdr:row>
      <xdr:rowOff>158002</xdr:rowOff>
    </xdr:from>
    <xdr:to>
      <xdr:col>27</xdr:col>
      <xdr:colOff>397808</xdr:colOff>
      <xdr:row>40</xdr:row>
      <xdr:rowOff>178172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745235-196E-4C2C-9973-F186B7AEF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319366</xdr:colOff>
      <xdr:row>27</xdr:row>
      <xdr:rowOff>101973</xdr:rowOff>
    </xdr:from>
    <xdr:to>
      <xdr:col>36</xdr:col>
      <xdr:colOff>50425</xdr:colOff>
      <xdr:row>41</xdr:row>
      <xdr:rowOff>110938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064F4F-D287-46D1-94D7-677A36667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20</xdr:row>
      <xdr:rowOff>0</xdr:rowOff>
    </xdr:from>
    <xdr:to>
      <xdr:col>26</xdr:col>
      <xdr:colOff>12700</xdr:colOff>
      <xdr:row>38</xdr:row>
      <xdr:rowOff>92710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950A66-A16B-4216-8960-3CFE9F7812F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8550" y="3286125"/>
          <a:ext cx="4584700" cy="303593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145677</xdr:colOff>
      <xdr:row>14</xdr:row>
      <xdr:rowOff>123264</xdr:rowOff>
    </xdr:from>
    <xdr:to>
      <xdr:col>24</xdr:col>
      <xdr:colOff>361203</xdr:colOff>
      <xdr:row>46</xdr:row>
      <xdr:rowOff>106903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287380-A960-44C9-8311-B30282DF59D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5236" y="2342029"/>
          <a:ext cx="8048438" cy="5082315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E50C34-B994-4E80-8982-C2E185113D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269B5C-979E-4E3A-9575-D56DAFBF8D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24AEF2B-7D21-4A4B-97EF-5C912543645B}"/>
            </a:ext>
          </a:extLst>
        </xdr:cNvPr>
        <xdr:cNvSpPr/>
      </xdr:nvSpPr>
      <xdr:spPr>
        <a:xfrm>
          <a:off x="12573000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5232E0F-AC47-48D2-AAD4-CBA08365B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59550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46E1B23-0D11-4E02-858E-DC3C9AA14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16650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1E825-6A57-4706-A343-2CFF88977B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B083A7-94EC-440F-B8AC-BB20BFA59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162BC8E-9E07-4686-9BF7-7362D20F6905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12442AF-433F-463F-B047-77BFB101A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5595ADB-0D0E-4D78-A9B5-9CA4CBA27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77086B-A79E-418A-BE46-2D8B3D9999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F7D8DB-26F8-42CB-B721-FAD7E51D49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12AF099-AE98-4373-8BDC-42ECA22B31B8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7B2A8D-CE0D-47DE-8852-6BE89552A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64EF74D-DF19-4048-9BCC-E5DDA1198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5BAC6-E2C4-4699-86E2-44BB3A080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E4F338-DCEC-420A-A91B-EF682A554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E530022-21DB-459B-9DC4-914DC2702B62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8057B7-AFA3-4582-B275-7BC2EBAD8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155AC48-810E-4DFC-9E94-33CE748CB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CAFDD4-6CF0-4E02-AAFE-9579301FE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1C3412-7E77-4B42-9C5A-015EF3EFC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1699C14-DB15-4F7B-B531-D664820FBEE2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F3D597-60D4-4571-8696-44F1EF20C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29EC75-D2B4-4036-A327-32EDE5182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C75881-8468-4950-84EA-2B5177990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0A0BCE-86D1-49D6-8BE2-805573566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F9554B1-8D61-42EF-9868-F27C3CFE59F1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3DE4D8-3071-4248-9A10-9F8C83F60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9DC563-4151-4140-8026-E4EC8E83F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9AA130-2BE9-4CC0-9AC3-C688791C4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EE95AD-3A81-4684-8DEE-4458FD972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9696A62-EBCB-4567-8B07-C3671C612B89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79DF48-6682-4E3E-AD47-C65D353BF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1764B9-56C5-440B-87B2-EB3DEE3C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C9010B-3DDF-4847-8102-BBC1E4A57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4F8D16-27EC-444A-8E50-1A7A0E0DC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9331821-FC82-46F8-B124-1926E4B2EF51}"/>
            </a:ext>
          </a:extLst>
        </xdr:cNvPr>
        <xdr:cNvSpPr/>
      </xdr:nvSpPr>
      <xdr:spPr>
        <a:xfrm>
          <a:off x="9595597" y="1165412"/>
          <a:ext cx="2873188" cy="941294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54CA1C9-9F28-4C63-A636-40CC7C03A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7294" y="10533529"/>
          <a:ext cx="10281957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D26296F-01BA-4E47-ACC5-ADA461D80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19912" y="4515971"/>
          <a:ext cx="9857815" cy="1541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12</xdr:col>
      <xdr:colOff>561975</xdr:colOff>
      <xdr:row>15</xdr:row>
      <xdr:rowOff>122449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99FEC-18F7-4192-B006-960C01DE7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190500"/>
          <a:ext cx="2390775" cy="2027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1</xdr:rowOff>
    </xdr:from>
    <xdr:to>
      <xdr:col>19</xdr:col>
      <xdr:colOff>571500</xdr:colOff>
      <xdr:row>29</xdr:row>
      <xdr:rowOff>137211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C233F1-E7B7-44C8-9EE4-DEBAF8DB2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2476501"/>
          <a:ext cx="6667500" cy="2423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66675</xdr:colOff>
      <xdr:row>16</xdr:row>
      <xdr:rowOff>42862</xdr:rowOff>
    </xdr:from>
    <xdr:to>
      <xdr:col>8</xdr:col>
      <xdr:colOff>371475</xdr:colOff>
      <xdr:row>30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17621B-585D-474C-9D70-0F037640C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6538F5-92AE-4BFE-9238-FBB0F8BB6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6553200"/>
          <a:ext cx="5865626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89647</xdr:colOff>
      <xdr:row>38</xdr:row>
      <xdr:rowOff>44824</xdr:rowOff>
    </xdr:from>
    <xdr:to>
      <xdr:col>5</xdr:col>
      <xdr:colOff>79396</xdr:colOff>
      <xdr:row>47</xdr:row>
      <xdr:rowOff>129489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38EF78-DEAC-422B-8A6C-334863359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176" y="7373471"/>
          <a:ext cx="5144455" cy="179916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20</xdr:col>
      <xdr:colOff>344581</xdr:colOff>
      <xdr:row>74</xdr:row>
      <xdr:rowOff>48185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DDA10E-0A58-4823-9BAC-75FA9EA4B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0794" y="6544235"/>
          <a:ext cx="6362140" cy="7668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FB06C5-91F4-4092-B003-DBBB21965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F52725-534E-4BC2-89F5-3962CF489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8285B6-2A5A-48E8-9C91-8D7A6B107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419100</xdr:colOff>
      <xdr:row>3</xdr:row>
      <xdr:rowOff>52387</xdr:rowOff>
    </xdr:from>
    <xdr:to>
      <xdr:col>24</xdr:col>
      <xdr:colOff>257175</xdr:colOff>
      <xdr:row>17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6EB72B-A396-4ABE-BB50-9F0B2ED9C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266700</xdr:colOff>
      <xdr:row>34</xdr:row>
      <xdr:rowOff>138114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F3A9C-D8C0-415E-B04F-D6FEAC8C3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18</xdr:col>
      <xdr:colOff>225719</xdr:colOff>
      <xdr:row>42</xdr:row>
      <xdr:rowOff>133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E50C47-85A8-4884-B5B2-277A4444E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686550"/>
          <a:ext cx="11469701" cy="952633"/>
        </a:xfrm>
        <a:prstGeom prst="rect">
          <a:avLst/>
        </a:prstGeom>
      </xdr:spPr>
    </xdr:pic>
    <xdr:clientData/>
  </xdr:twoCellAnchor>
  <xdr:twoCellAnchor editAs="oneCell">
    <xdr:from>
      <xdr:col>20</xdr:col>
      <xdr:colOff>558054</xdr:colOff>
      <xdr:row>2</xdr:row>
      <xdr:rowOff>165287</xdr:rowOff>
    </xdr:from>
    <xdr:to>
      <xdr:col>24</xdr:col>
      <xdr:colOff>96086</xdr:colOff>
      <xdr:row>34</xdr:row>
      <xdr:rowOff>80404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9913D5-5A4C-4A59-858D-8DAB69245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25083" y="546287"/>
          <a:ext cx="1958503" cy="6033529"/>
        </a:xfrm>
        <a:prstGeom prst="rect">
          <a:avLst/>
        </a:prstGeom>
      </xdr:spPr>
    </xdr:pic>
    <xdr:clientData/>
  </xdr:twoCellAnchor>
  <xdr:twoCellAnchor>
    <xdr:from>
      <xdr:col>15</xdr:col>
      <xdr:colOff>313765</xdr:colOff>
      <xdr:row>9</xdr:row>
      <xdr:rowOff>78441</xdr:rowOff>
    </xdr:from>
    <xdr:to>
      <xdr:col>16</xdr:col>
      <xdr:colOff>89647</xdr:colOff>
      <xdr:row>11</xdr:row>
      <xdr:rowOff>112059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651E3B3-FD30-419E-9AF3-69869434CEB6}"/>
            </a:ext>
          </a:extLst>
        </xdr:cNvPr>
        <xdr:cNvSpPr/>
      </xdr:nvSpPr>
      <xdr:spPr>
        <a:xfrm>
          <a:off x="9155206" y="1423147"/>
          <a:ext cx="381000" cy="414618"/>
        </a:xfrm>
        <a:prstGeom prst="ellipse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285750</xdr:colOff>
      <xdr:row>45</xdr:row>
      <xdr:rowOff>52387</xdr:rowOff>
    </xdr:from>
    <xdr:to>
      <xdr:col>14</xdr:col>
      <xdr:colOff>590550</xdr:colOff>
      <xdr:row>59</xdr:row>
      <xdr:rowOff>128587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898149-21BC-488D-B6B5-7F8D95DA3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4</xdr:row>
      <xdr:rowOff>90487</xdr:rowOff>
    </xdr:from>
    <xdr:to>
      <xdr:col>19</xdr:col>
      <xdr:colOff>9525</xdr:colOff>
      <xdr:row>18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95206-79B1-4A18-A62F-435732FC7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409574</xdr:colOff>
      <xdr:row>20</xdr:row>
      <xdr:rowOff>52387</xdr:rowOff>
    </xdr:from>
    <xdr:to>
      <xdr:col>19</xdr:col>
      <xdr:colOff>19049</xdr:colOff>
      <xdr:row>34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7228BA-10EB-411B-9634-782B23EC3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17</xdr:col>
      <xdr:colOff>487162</xdr:colOff>
      <xdr:row>10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55355F-219D-4E99-8424-457BC44317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384" b="18881"/>
        <a:stretch/>
      </xdr:blipFill>
      <xdr:spPr bwMode="auto">
        <a:xfrm>
          <a:off x="5353050" y="200025"/>
          <a:ext cx="5363962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16</xdr:col>
      <xdr:colOff>38264</xdr:colOff>
      <xdr:row>35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DE7D9D-E2A3-4D7A-A419-DB2FD3910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2905125"/>
          <a:ext cx="4305464" cy="398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29</xdr:col>
      <xdr:colOff>179312</xdr:colOff>
      <xdr:row>42</xdr:row>
      <xdr:rowOff>137583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243D51-3A16-4885-9709-CA85EE23B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37333" y="2910417"/>
          <a:ext cx="7545312" cy="531283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81A01-14B1-4EFF-8B3F-46AFF4040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D47619-CDF6-463E-8818-003B2CD9F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F397B6-2C25-4E81-8F3E-BE5773971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72473</xdr:colOff>
      <xdr:row>10</xdr:row>
      <xdr:rowOff>68951</xdr:rowOff>
    </xdr:from>
    <xdr:to>
      <xdr:col>19</xdr:col>
      <xdr:colOff>586823</xdr:colOff>
      <xdr:row>30</xdr:row>
      <xdr:rowOff>157368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BD9468-D78E-40DC-9693-C7F260449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17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18C96-998C-4719-A581-C608D1BA8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17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7AAA2E-46B3-4911-9691-959669EA4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18</xdr:row>
      <xdr:rowOff>36443</xdr:rowOff>
    </xdr:from>
    <xdr:to>
      <xdr:col>24</xdr:col>
      <xdr:colOff>571500</xdr:colOff>
      <xdr:row>30</xdr:row>
      <xdr:rowOff>149087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5486CC-E59A-46B0-A353-F0829A491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394667</xdr:colOff>
      <xdr:row>19</xdr:row>
      <xdr:rowOff>77027</xdr:rowOff>
    </xdr:from>
    <xdr:to>
      <xdr:col>29</xdr:col>
      <xdr:colOff>25263</xdr:colOff>
      <xdr:row>31</xdr:row>
      <xdr:rowOff>189671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E586D4-2123-40EE-B516-8632E0C19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4A1E2-5618-4D5D-A79D-F815F633D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B6A7BE-2E27-4A11-A0AE-06D44704D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2D2AAE-661C-4747-BE9C-EC7D70A30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01564D-1B4F-49C3-A75F-B4C6ADFCC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0F8914-BECF-4E5B-9DB7-47E15E89A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AA07D8-6652-47DB-B851-9CAE84315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A326F0-F63B-44F1-8A0C-E164F986A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5A491D-EE16-4399-BDFE-16DAF1FA8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50525883-7071-43C3-A4B5-76205564AE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381625" y="0"/>
          <a:ext cx="9092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6D2851-6D7F-4897-9B76-BD8A18DA9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60CB50-0D99-41E9-ACA0-2412B0B86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810" y="0"/>
          <a:ext cx="10440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F67BBA-81B5-4C95-B15C-1904C2294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6553200"/>
          <a:ext cx="5865627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4</xdr:col>
      <xdr:colOff>1166366</xdr:colOff>
      <xdr:row>45</xdr:row>
      <xdr:rowOff>84665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ED9770-CA66-4356-9A9D-79E31566F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934200"/>
          <a:ext cx="5128766" cy="17991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.local\shares\P074\Baseline&amp;Status\03%20Aero%20Program\Aero%20Homologation%20Documents\E9099_Volumetric_Run_017_AeroMap_Extrapo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umetricModelExport"/>
      <sheetName val="Summary"/>
      <sheetName val="Sensitivities"/>
    </sheetNames>
    <sheetDataSet>
      <sheetData sheetId="0"/>
      <sheetData sheetId="1">
        <row r="5">
          <cell r="C5">
            <v>30</v>
          </cell>
          <cell r="D5">
            <v>40</v>
          </cell>
          <cell r="E5">
            <v>50</v>
          </cell>
          <cell r="F5">
            <v>60</v>
          </cell>
          <cell r="G5">
            <v>70</v>
          </cell>
          <cell r="H5">
            <v>80</v>
          </cell>
          <cell r="I5">
            <v>90</v>
          </cell>
          <cell r="J5">
            <v>100</v>
          </cell>
        </row>
        <row r="6">
          <cell r="C6">
            <v>1.0301230593314969</v>
          </cell>
          <cell r="D6">
            <v>1.048665219221969</v>
          </cell>
          <cell r="E6">
            <v>1.0722025125104937</v>
          </cell>
          <cell r="F6">
            <v>1.0975615636993075</v>
          </cell>
          <cell r="G6">
            <v>1.1218513651959361</v>
          </cell>
          <cell r="H6">
            <v>1.1432153953782405</v>
          </cell>
          <cell r="I6">
            <v>1.1606065502975755</v>
          </cell>
          <cell r="J6">
            <v>1.1729866078405919</v>
          </cell>
        </row>
        <row r="7">
          <cell r="C7">
            <v>1.032144373940624</v>
          </cell>
          <cell r="D7">
            <v>1.052899179773928</v>
          </cell>
          <cell r="E7">
            <v>1.076094370852037</v>
          </cell>
          <cell r="F7">
            <v>1.098797540667644</v>
          </cell>
          <cell r="G7">
            <v>1.1194877727390988</v>
          </cell>
          <cell r="H7">
            <v>1.138105277525526</v>
          </cell>
          <cell r="I7">
            <v>1.1548957651409908</v>
          </cell>
          <cell r="J7">
            <v>1.1690172498887108</v>
          </cell>
        </row>
        <row r="8">
          <cell r="C8">
            <v>1.0359479117418096</v>
          </cell>
          <cell r="D8">
            <v>1.0591508706096102</v>
          </cell>
          <cell r="E8">
            <v>1.0827199710338462</v>
          </cell>
          <cell r="F8">
            <v>1.1038456261143155</v>
          </cell>
          <cell r="G8">
            <v>1.1218964909964826</v>
          </cell>
          <cell r="H8">
            <v>1.1379356300557044</v>
          </cell>
          <cell r="I8">
            <v>1.1529917704788533</v>
          </cell>
          <cell r="J8">
            <v>1.1664074279313505</v>
          </cell>
        </row>
        <row r="9">
          <cell r="C9">
            <v>1.0376206995929691</v>
          </cell>
          <cell r="D9">
            <v>1.0618649397730591</v>
          </cell>
          <cell r="E9">
            <v>1.0858893890362782</v>
          </cell>
          <cell r="F9">
            <v>1.1069769079138576</v>
          </cell>
          <cell r="G9">
            <v>1.1246445325695331</v>
          </cell>
          <cell r="H9">
            <v>1.1399723798668342</v>
          </cell>
          <cell r="I9">
            <v>1.1538670045797366</v>
          </cell>
          <cell r="J9">
            <v>1.1655957661480603</v>
          </cell>
        </row>
        <row r="10">
          <cell r="C10">
            <v>1.0364775988713626</v>
          </cell>
          <cell r="D10">
            <v>1.0589379123658222</v>
          </cell>
          <cell r="E10">
            <v>1.081937575653479</v>
          </cell>
          <cell r="F10">
            <v>1.1030719132319349</v>
          </cell>
          <cell r="G10">
            <v>1.1215969389564664</v>
          </cell>
          <cell r="H10">
            <v>1.1378397060198651</v>
          </cell>
          <cell r="I10">
            <v>1.1518767500941334</v>
          </cell>
          <cell r="J10">
            <v>1.1625658789128033</v>
          </cell>
        </row>
        <row r="11">
          <cell r="C11">
            <v>1.0357246917871077</v>
          </cell>
          <cell r="D11">
            <v>1.0539143912732976</v>
          </cell>
          <cell r="E11">
            <v>1.0737782402066403</v>
          </cell>
          <cell r="F11">
            <v>1.0935207472943587</v>
          </cell>
          <cell r="G11">
            <v>1.1121949482191809</v>
          </cell>
          <cell r="H11">
            <v>1.1292756821444119</v>
          </cell>
          <cell r="I11">
            <v>1.1438681111935303</v>
          </cell>
          <cell r="J11">
            <v>1.1542953268031488</v>
          </cell>
        </row>
        <row r="14">
          <cell r="C14">
            <v>30</v>
          </cell>
          <cell r="D14">
            <v>40</v>
          </cell>
          <cell r="E14">
            <v>50</v>
          </cell>
          <cell r="F14">
            <v>60</v>
          </cell>
          <cell r="G14">
            <v>70</v>
          </cell>
          <cell r="H14">
            <v>80</v>
          </cell>
          <cell r="I14">
            <v>90</v>
          </cell>
          <cell r="J14">
            <v>100</v>
          </cell>
        </row>
        <row r="15">
          <cell r="C15">
            <v>1.8101191211465175</v>
          </cell>
          <cell r="D15">
            <v>1.9444399955914125</v>
          </cell>
          <cell r="E15">
            <v>2.0847558522588905</v>
          </cell>
          <cell r="F15">
            <v>2.2219646137145581</v>
          </cell>
          <cell r="G15">
            <v>2.350354884143639</v>
          </cell>
          <cell r="H15">
            <v>2.4656376705182343</v>
          </cell>
          <cell r="I15">
            <v>2.5600189727010458</v>
          </cell>
          <cell r="J15">
            <v>2.6190354151983417</v>
          </cell>
        </row>
        <row r="16">
          <cell r="C16">
            <v>1.5501944838151862</v>
          </cell>
          <cell r="D16">
            <v>1.6787490303087256</v>
          </cell>
          <cell r="E16">
            <v>1.8164214237073641</v>
          </cell>
          <cell r="F16">
            <v>1.9523195633477728</v>
          </cell>
          <cell r="G16">
            <v>2.0824064855867017</v>
          </cell>
          <cell r="H16">
            <v>2.2062051651705037</v>
          </cell>
          <cell r="I16">
            <v>2.318996783821786</v>
          </cell>
          <cell r="J16">
            <v>2.4063701372309261</v>
          </cell>
        </row>
        <row r="17">
          <cell r="C17">
            <v>1.282181801475911</v>
          </cell>
          <cell r="D17">
            <v>1.4128829244575742</v>
          </cell>
          <cell r="E17">
            <v>1.554411542932099</v>
          </cell>
          <cell r="F17">
            <v>1.6898910611837619</v>
          </cell>
          <cell r="G17">
            <v>1.8132125609011527</v>
          </cell>
          <cell r="H17">
            <v>1.9262021557402935</v>
          </cell>
          <cell r="I17">
            <v>2.0292718701150356</v>
          </cell>
          <cell r="J17">
            <v>2.1136784868145337</v>
          </cell>
        </row>
        <row r="18">
          <cell r="C18">
            <v>1.0164606024220129</v>
          </cell>
          <cell r="D18">
            <v>1.1448902664768379</v>
          </cell>
          <cell r="E18">
            <v>1.2915402433056677</v>
          </cell>
          <cell r="F18">
            <v>1.4332972160561814</v>
          </cell>
          <cell r="G18">
            <v>1.5586282550661188</v>
          </cell>
          <cell r="H18">
            <v>1.6666923694790325</v>
          </cell>
          <cell r="I18">
            <v>1.75904215655811</v>
          </cell>
          <cell r="J18">
            <v>1.8317439123739139</v>
          </cell>
        </row>
        <row r="19">
          <cell r="C19">
            <v>0.77380995083502335</v>
          </cell>
          <cell r="D19">
            <v>0.87479506139653229</v>
          </cell>
          <cell r="E19">
            <v>1.0070247459832156</v>
          </cell>
          <cell r="F19">
            <v>1.1467690063985529</v>
          </cell>
          <cell r="G19">
            <v>1.2783337820096092</v>
          </cell>
          <cell r="H19">
            <v>1.3949608595397365</v>
          </cell>
          <cell r="I19">
            <v>1.493548558760051</v>
          </cell>
          <cell r="J19">
            <v>1.5693854789622712</v>
          </cell>
        </row>
        <row r="20">
          <cell r="C20">
            <v>0.61395153873656616</v>
          </cell>
          <cell r="D20">
            <v>0.65871567774786666</v>
          </cell>
          <cell r="E20">
            <v>0.7456526106044612</v>
          </cell>
          <cell r="F20">
            <v>0.85818825430721057</v>
          </cell>
          <cell r="G20">
            <v>0.98195113225817687</v>
          </cell>
          <cell r="H20">
            <v>1.1059229447662657</v>
          </cell>
          <cell r="I20">
            <v>1.2202830695887987</v>
          </cell>
          <cell r="J20">
            <v>1.3150460653106293</v>
          </cell>
        </row>
        <row r="23">
          <cell r="C23">
            <v>30</v>
          </cell>
          <cell r="D23">
            <v>40</v>
          </cell>
          <cell r="E23">
            <v>50</v>
          </cell>
          <cell r="F23">
            <v>60</v>
          </cell>
          <cell r="G23">
            <v>70</v>
          </cell>
          <cell r="H23">
            <v>80</v>
          </cell>
          <cell r="I23">
            <v>90</v>
          </cell>
          <cell r="J23">
            <v>100</v>
          </cell>
        </row>
        <row r="24">
          <cell r="C24">
            <v>2.0417592779785094</v>
          </cell>
          <cell r="D24">
            <v>2.0857549724793012</v>
          </cell>
          <cell r="E24">
            <v>2.1379307136910395</v>
          </cell>
          <cell r="F24">
            <v>2.190573189620137</v>
          </cell>
          <cell r="G24">
            <v>2.2284247975217468</v>
          </cell>
          <cell r="H24">
            <v>2.2343438769564483</v>
          </cell>
          <cell r="I24">
            <v>2.1979288836943125</v>
          </cell>
          <cell r="J24">
            <v>2.1219550388390358</v>
          </cell>
        </row>
        <row r="25">
          <cell r="C25">
            <v>2.0672036465150865</v>
          </cell>
          <cell r="D25">
            <v>2.1118840219713841</v>
          </cell>
          <cell r="E25">
            <v>2.1651594134251058</v>
          </cell>
          <cell r="F25">
            <v>2.2198932884917708</v>
          </cell>
          <cell r="G25">
            <v>2.2589520334864717</v>
          </cell>
          <cell r="H25">
            <v>2.2613359373931745</v>
          </cell>
          <cell r="I25">
            <v>2.2132846485488145</v>
          </cell>
          <cell r="J25">
            <v>2.1175382039980066</v>
          </cell>
        </row>
        <row r="26">
          <cell r="C26">
            <v>2.1280185021088189</v>
          </cell>
          <cell r="D26">
            <v>2.1723567949358089</v>
          </cell>
          <cell r="E26">
            <v>2.2239376645572526</v>
          </cell>
          <cell r="F26">
            <v>2.2770241054216855</v>
          </cell>
          <cell r="G26">
            <v>2.3129535360120288</v>
          </cell>
          <cell r="H26">
            <v>2.3066501901409371</v>
          </cell>
          <cell r="I26">
            <v>2.2406650732461313</v>
          </cell>
          <cell r="J26">
            <v>2.1178714693982963</v>
          </cell>
        </row>
        <row r="27">
          <cell r="C27">
            <v>2.1885816155920237</v>
          </cell>
          <cell r="D27">
            <v>2.226642500968099</v>
          </cell>
          <cell r="E27">
            <v>2.2704856641180302</v>
          </cell>
          <cell r="F27">
            <v>2.3167534136612908</v>
          </cell>
          <cell r="G27">
            <v>2.3462404956133618</v>
          </cell>
          <cell r="H27">
            <v>2.3306131643215564</v>
          </cell>
          <cell r="I27">
            <v>2.2490735928919778</v>
          </cell>
          <cell r="J27">
            <v>2.1041970251170681</v>
          </cell>
        </row>
        <row r="28">
          <cell r="C28">
            <v>2.2090093913710649</v>
          </cell>
          <cell r="D28">
            <v>2.237689457761423</v>
          </cell>
          <cell r="E28">
            <v>2.272316129004107</v>
          </cell>
          <cell r="F28">
            <v>2.3117664655364769</v>
          </cell>
          <cell r="G28">
            <v>2.3372180023685512</v>
          </cell>
          <cell r="H28">
            <v>2.3188600837799744</v>
          </cell>
          <cell r="I28">
            <v>2.2338448397713941</v>
          </cell>
          <cell r="J28">
            <v>2.0837448740719129</v>
          </cell>
        </row>
        <row r="29">
          <cell r="C29">
            <v>2.1786168084660016</v>
          </cell>
          <cell r="D29">
            <v>2.2029836258081246</v>
          </cell>
          <cell r="E29">
            <v>2.2351093567829072</v>
          </cell>
          <cell r="F29">
            <v>2.2744157456184242</v>
          </cell>
          <cell r="G29">
            <v>2.3028719706755982</v>
          </cell>
          <cell r="H29">
            <v>2.2914849694509476</v>
          </cell>
          <cell r="I29">
            <v>2.2175429472752484</v>
          </cell>
          <cell r="J29">
            <v>2.0813781661507118</v>
          </cell>
        </row>
        <row r="41">
          <cell r="C41">
            <v>30</v>
          </cell>
          <cell r="D41">
            <v>40</v>
          </cell>
          <cell r="E41">
            <v>50</v>
          </cell>
          <cell r="F41">
            <v>60</v>
          </cell>
          <cell r="G41">
            <v>70</v>
          </cell>
          <cell r="H41">
            <v>80</v>
          </cell>
          <cell r="I41">
            <v>90</v>
          </cell>
          <cell r="J41">
            <v>100</v>
          </cell>
        </row>
        <row r="42">
          <cell r="C42">
            <v>0.46993153303014312</v>
          </cell>
          <cell r="D42">
            <v>0.48246797264059699</v>
          </cell>
          <cell r="E42">
            <v>0.49370366938184213</v>
          </cell>
          <cell r="F42">
            <v>0.50355707140579031</v>
          </cell>
          <cell r="G42">
            <v>0.51331469246163242</v>
          </cell>
          <cell r="H42">
            <v>0.52460581932348871</v>
          </cell>
          <cell r="I42">
            <v>0.53805107789485684</v>
          </cell>
          <cell r="J42">
            <v>0.55242368458430424</v>
          </cell>
        </row>
        <row r="43">
          <cell r="C43">
            <v>0.42853853182968604</v>
          </cell>
          <cell r="D43">
            <v>0.44286772345293052</v>
          </cell>
          <cell r="E43">
            <v>0.4562060894927224</v>
          </cell>
          <cell r="F43">
            <v>0.46793383575504494</v>
          </cell>
          <cell r="G43">
            <v>0.47966701585181909</v>
          </cell>
          <cell r="H43">
            <v>0.49382985282541281</v>
          </cell>
          <cell r="I43">
            <v>0.51166213273054384</v>
          </cell>
          <cell r="J43">
            <v>0.53192283214500957</v>
          </cell>
        </row>
        <row r="44">
          <cell r="C44">
            <v>0.37598430805607191</v>
          </cell>
          <cell r="D44">
            <v>0.39408325106267422</v>
          </cell>
          <cell r="E44">
            <v>0.41139965036873311</v>
          </cell>
          <cell r="F44">
            <v>0.42599626919418815</v>
          </cell>
          <cell r="G44">
            <v>0.43944245537222359</v>
          </cell>
          <cell r="H44">
            <v>0.45506008675558479</v>
          </cell>
          <cell r="I44">
            <v>0.47524633197923843</v>
          </cell>
          <cell r="J44">
            <v>0.4995045571212498</v>
          </cell>
        </row>
        <row r="45">
          <cell r="C45">
            <v>0.3171442162942395</v>
          </cell>
          <cell r="D45">
            <v>0.33957560120184593</v>
          </cell>
          <cell r="E45">
            <v>0.36258586458170888</v>
          </cell>
          <cell r="F45">
            <v>0.38220743066718693</v>
          </cell>
          <cell r="G45">
            <v>0.39914997265782726</v>
          </cell>
          <cell r="H45">
            <v>0.41695395945737523</v>
          </cell>
          <cell r="I45">
            <v>0.43887009919797104</v>
          </cell>
          <cell r="J45">
            <v>0.46538907505598481</v>
          </cell>
        </row>
        <row r="46">
          <cell r="C46">
            <v>0.25942233238393669</v>
          </cell>
          <cell r="D46">
            <v>0.28106005219045954</v>
          </cell>
          <cell r="E46">
            <v>0.30708144848989161</v>
          </cell>
          <cell r="F46">
            <v>0.33157647672092327</v>
          </cell>
          <cell r="G46">
            <v>0.35356533614950564</v>
          </cell>
          <cell r="H46">
            <v>0.3756133860058446</v>
          </cell>
          <cell r="I46">
            <v>0.40069517731841608</v>
          </cell>
          <cell r="J46">
            <v>0.42960018594978006</v>
          </cell>
        </row>
        <row r="47">
          <cell r="C47">
            <v>0.21985192926489588</v>
          </cell>
          <cell r="D47">
            <v>0.23018340079593147</v>
          </cell>
          <cell r="E47">
            <v>0.25015503376743098</v>
          </cell>
          <cell r="F47">
            <v>0.27395363548267931</v>
          </cell>
          <cell r="G47">
            <v>0.29893577263907045</v>
          </cell>
          <cell r="H47">
            <v>0.32551962339826307</v>
          </cell>
          <cell r="I47">
            <v>0.35495777377993359</v>
          </cell>
          <cell r="J47">
            <v>0.38718545614215549</v>
          </cell>
        </row>
      </sheetData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tteo Paganini" id="{3ECB7DFD-9BBB-4DE4-B2B6-E40710673881}" userId="S::matteo.paganini.ext@podium-tech.com::a7ac2d1f-87f1-4e90-98a1-c0f77dbc0ec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" dT="2021-04-26T21:07:48.95" personId="{3ECB7DFD-9BBB-4DE4-B2B6-E40710673881}" id="{C8B858D3-C113-4E97-AA3A-D7396E2D7EB3}">
    <text>From RH values of last run Day2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D27F-4705-43EF-AE60-AB47B2DE4EF9}">
  <sheetPr codeName="Sheet1"/>
  <dimension ref="B2:AG29"/>
  <sheetViews>
    <sheetView showGridLines="0" tabSelected="1" zoomScale="70" zoomScaleNormal="70" workbookViewId="0">
      <selection activeCell="T29" sqref="T29"/>
    </sheetView>
  </sheetViews>
  <sheetFormatPr defaultColWidth="9.140625" defaultRowHeight="15" x14ac:dyDescent="0.25"/>
  <cols>
    <col min="1" max="1" width="3.7109375" style="380" customWidth="1"/>
    <col min="2" max="2" width="13.42578125" style="380" bestFit="1" customWidth="1"/>
    <col min="3" max="3" width="20.5703125" style="168" customWidth="1"/>
    <col min="4" max="4" width="13.140625" style="380" customWidth="1"/>
    <col min="5" max="5" width="10.7109375" style="380" customWidth="1"/>
    <col min="6" max="10" width="10.28515625" style="380" customWidth="1"/>
    <col min="11" max="11" width="11.28515625" style="380" customWidth="1"/>
    <col min="12" max="13" width="7.7109375" style="380" customWidth="1"/>
    <col min="14" max="14" width="10" style="380" customWidth="1"/>
    <col min="15" max="15" width="10.140625" style="380" customWidth="1"/>
    <col min="16" max="17" width="9.140625" style="380"/>
    <col min="18" max="20" width="7.7109375" style="380" customWidth="1"/>
    <col min="21" max="21" width="8.42578125" style="380" customWidth="1"/>
    <col min="22" max="25" width="7.7109375" style="380" customWidth="1"/>
    <col min="26" max="27" width="9.140625" style="380"/>
    <col min="28" max="28" width="17" style="380" customWidth="1"/>
    <col min="29" max="29" width="10.28515625" style="380" customWidth="1"/>
    <col min="30" max="31" width="9.140625" style="380"/>
    <col min="32" max="32" width="12.85546875" style="380" bestFit="1" customWidth="1"/>
    <col min="33" max="16384" width="9.140625" style="380"/>
  </cols>
  <sheetData>
    <row r="2" spans="2:33" x14ac:dyDescent="0.25">
      <c r="B2" s="383" t="s">
        <v>500</v>
      </c>
      <c r="C2" s="1079" t="s">
        <v>497</v>
      </c>
      <c r="D2" s="80" t="s">
        <v>503</v>
      </c>
      <c r="E2" s="624" t="s">
        <v>501</v>
      </c>
      <c r="F2" s="172"/>
      <c r="G2" s="600" t="s">
        <v>824</v>
      </c>
      <c r="H2" s="172"/>
      <c r="I2" s="172"/>
      <c r="J2" s="383" t="s">
        <v>769</v>
      </c>
      <c r="K2" s="172"/>
      <c r="L2" s="989" t="s">
        <v>777</v>
      </c>
      <c r="M2" s="988"/>
      <c r="N2" s="383" t="s">
        <v>770</v>
      </c>
      <c r="O2" s="72"/>
      <c r="P2" s="172"/>
      <c r="Q2" s="172"/>
      <c r="R2" s="811" t="s">
        <v>620</v>
      </c>
      <c r="S2" s="172"/>
      <c r="T2" s="172"/>
      <c r="U2" s="172"/>
      <c r="V2" s="172"/>
      <c r="W2" s="172"/>
      <c r="X2" s="80" t="s">
        <v>13</v>
      </c>
      <c r="Y2" s="624" t="s">
        <v>17</v>
      </c>
      <c r="Z2" s="172"/>
      <c r="AA2" s="172"/>
      <c r="AB2" s="383" t="s">
        <v>827</v>
      </c>
      <c r="AC2" s="172"/>
      <c r="AD2" s="172"/>
      <c r="AE2" s="72"/>
    </row>
    <row r="3" spans="2:33" ht="15.75" x14ac:dyDescent="0.25">
      <c r="B3" s="94">
        <v>76</v>
      </c>
      <c r="C3" s="1082">
        <v>241</v>
      </c>
      <c r="D3" s="1062">
        <v>0.5</v>
      </c>
      <c r="E3" s="382">
        <f>C3+D3</f>
        <v>241.5</v>
      </c>
      <c r="F3" s="253" t="s">
        <v>821</v>
      </c>
      <c r="G3" s="1065">
        <v>-1.2</v>
      </c>
      <c r="H3" s="381" t="s">
        <v>825</v>
      </c>
      <c r="I3" s="381"/>
      <c r="J3" s="94" t="s">
        <v>324</v>
      </c>
      <c r="K3" s="381"/>
      <c r="L3" s="382"/>
      <c r="N3" s="94" t="s">
        <v>13</v>
      </c>
      <c r="O3" s="382" t="s">
        <v>773</v>
      </c>
      <c r="P3" s="381"/>
      <c r="Q3" s="381"/>
      <c r="R3" s="94" t="s">
        <v>622</v>
      </c>
      <c r="S3" s="381"/>
      <c r="T3" s="381"/>
      <c r="U3" s="381"/>
      <c r="X3" s="163">
        <v>0.70399999999999996</v>
      </c>
      <c r="Y3" s="808">
        <v>0.44</v>
      </c>
      <c r="AA3" s="381"/>
      <c r="AB3" s="94" t="s">
        <v>13</v>
      </c>
      <c r="AC3" s="381">
        <v>617</v>
      </c>
      <c r="AD3" s="381">
        <v>615</v>
      </c>
      <c r="AE3" s="382">
        <v>613</v>
      </c>
    </row>
    <row r="4" spans="2:33" x14ac:dyDescent="0.25">
      <c r="B4" s="81" t="s">
        <v>499</v>
      </c>
      <c r="C4" s="1078" t="s">
        <v>496</v>
      </c>
      <c r="D4" s="82" t="s">
        <v>503</v>
      </c>
      <c r="E4" s="647" t="s">
        <v>501</v>
      </c>
      <c r="F4" s="381"/>
      <c r="G4" s="1065"/>
      <c r="H4" s="381"/>
      <c r="I4" s="381"/>
      <c r="J4" s="986" t="s">
        <v>13</v>
      </c>
      <c r="K4" s="568"/>
      <c r="L4" s="382">
        <v>513.6</v>
      </c>
      <c r="N4" s="95" t="s">
        <v>17</v>
      </c>
      <c r="O4" s="97" t="s">
        <v>774</v>
      </c>
      <c r="P4" s="381"/>
      <c r="Q4" s="381"/>
      <c r="R4" s="94" t="s">
        <v>621</v>
      </c>
      <c r="S4" s="381"/>
      <c r="T4" s="381"/>
      <c r="U4" s="381"/>
      <c r="X4" s="809">
        <v>0.28000000000000003</v>
      </c>
      <c r="Y4" s="810">
        <v>0.49</v>
      </c>
      <c r="AA4" s="381"/>
      <c r="AB4" s="95"/>
      <c r="AC4" s="96">
        <v>11.9</v>
      </c>
      <c r="AD4" s="96">
        <v>15.2</v>
      </c>
      <c r="AE4" s="97">
        <v>18.399999999999999</v>
      </c>
      <c r="AF4" s="380">
        <f>AE4-AD4</f>
        <v>3.1999999999999993</v>
      </c>
    </row>
    <row r="5" spans="2:33" ht="15.75" x14ac:dyDescent="0.25">
      <c r="B5" s="653">
        <v>96</v>
      </c>
      <c r="C5" s="1083">
        <v>293.89999999999998</v>
      </c>
      <c r="D5" s="1064">
        <v>-4.5</v>
      </c>
      <c r="E5" s="655">
        <f>C5+D5</f>
        <v>289.39999999999998</v>
      </c>
      <c r="F5" s="253" t="s">
        <v>822</v>
      </c>
      <c r="G5" s="1066">
        <v>-1.9</v>
      </c>
      <c r="H5" s="381" t="s">
        <v>826</v>
      </c>
      <c r="I5" s="381"/>
      <c r="J5" s="987" t="s">
        <v>17</v>
      </c>
      <c r="K5" s="96"/>
      <c r="L5" s="97">
        <v>621.6</v>
      </c>
      <c r="M5" s="381"/>
      <c r="N5" s="381"/>
      <c r="O5" s="381"/>
      <c r="P5" s="381"/>
      <c r="Q5" s="381"/>
      <c r="R5" s="94" t="s">
        <v>623</v>
      </c>
      <c r="S5" s="381"/>
      <c r="T5" s="381"/>
      <c r="U5" s="381"/>
      <c r="X5" s="971">
        <v>5</v>
      </c>
      <c r="Y5" s="972">
        <v>3.6</v>
      </c>
      <c r="AA5" s="381"/>
      <c r="AB5" s="94" t="s">
        <v>17</v>
      </c>
      <c r="AC5" s="381">
        <v>357</v>
      </c>
      <c r="AD5" s="381">
        <v>359</v>
      </c>
      <c r="AE5" s="382">
        <v>361</v>
      </c>
      <c r="AF5" s="540"/>
    </row>
    <row r="6" spans="2:33" x14ac:dyDescent="0.25">
      <c r="B6" s="955"/>
      <c r="C6" s="1080"/>
      <c r="E6" s="540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381"/>
      <c r="Q6" s="381"/>
      <c r="R6" s="95" t="s">
        <v>767</v>
      </c>
      <c r="S6" s="96"/>
      <c r="T6" s="96"/>
      <c r="U6" s="96"/>
      <c r="V6" s="96"/>
      <c r="W6" s="96"/>
      <c r="X6" s="812">
        <v>0</v>
      </c>
      <c r="Y6" s="652">
        <v>0.7</v>
      </c>
      <c r="AA6" s="381"/>
      <c r="AB6" s="95"/>
      <c r="AC6" s="96">
        <v>16.899999999999999</v>
      </c>
      <c r="AD6" s="96">
        <v>20.399999999999999</v>
      </c>
      <c r="AE6" s="97">
        <v>23.8</v>
      </c>
      <c r="AF6" s="380">
        <f>AE6-AD6</f>
        <v>3.4000000000000021</v>
      </c>
    </row>
    <row r="7" spans="2:33" x14ac:dyDescent="0.25">
      <c r="B7" s="94"/>
      <c r="C7" s="399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1"/>
      <c r="Y7" s="381"/>
      <c r="AA7" s="381"/>
      <c r="AB7" s="381"/>
      <c r="AC7" s="381"/>
      <c r="AE7" s="382"/>
    </row>
    <row r="8" spans="2:33" x14ac:dyDescent="0.25">
      <c r="B8" s="658"/>
      <c r="C8" s="1081" t="s">
        <v>336</v>
      </c>
      <c r="D8" s="660" t="s">
        <v>502</v>
      </c>
      <c r="E8" s="661"/>
      <c r="F8" s="660" t="s">
        <v>519</v>
      </c>
      <c r="G8" s="662"/>
      <c r="H8" s="660" t="s">
        <v>823</v>
      </c>
      <c r="I8" s="662"/>
      <c r="J8" s="662" t="s">
        <v>23</v>
      </c>
      <c r="K8" s="661"/>
      <c r="L8" s="660" t="s">
        <v>516</v>
      </c>
      <c r="M8" s="661"/>
      <c r="N8" s="660" t="s">
        <v>772</v>
      </c>
      <c r="O8" s="662"/>
      <c r="P8" s="662" t="s">
        <v>771</v>
      </c>
      <c r="Q8" s="661"/>
      <c r="R8" s="660" t="s">
        <v>517</v>
      </c>
      <c r="S8" s="662"/>
      <c r="T8" s="662" t="s">
        <v>613</v>
      </c>
      <c r="U8" s="661"/>
      <c r="V8" s="660" t="s">
        <v>518</v>
      </c>
      <c r="W8" s="662"/>
      <c r="X8" s="662" t="s">
        <v>582</v>
      </c>
      <c r="Y8" s="661"/>
      <c r="Z8" s="660" t="s">
        <v>504</v>
      </c>
      <c r="AA8" s="661"/>
      <c r="AB8" s="660" t="s">
        <v>775</v>
      </c>
      <c r="AC8" s="661" t="s">
        <v>776</v>
      </c>
      <c r="AD8" s="662" t="s">
        <v>505</v>
      </c>
      <c r="AE8" s="661" t="s">
        <v>506</v>
      </c>
      <c r="AF8" s="656"/>
      <c r="AG8" s="656"/>
    </row>
    <row r="9" spans="2:33" x14ac:dyDescent="0.25">
      <c r="B9" s="94"/>
      <c r="C9" s="399"/>
      <c r="D9" s="670"/>
      <c r="E9" s="657"/>
      <c r="F9" s="1071"/>
      <c r="G9" s="1072"/>
      <c r="H9" s="1077"/>
      <c r="I9" s="1077"/>
      <c r="J9" s="563"/>
      <c r="K9" s="564"/>
      <c r="L9" s="552"/>
      <c r="M9" s="564"/>
      <c r="N9" s="552"/>
      <c r="O9" s="563"/>
      <c r="P9" s="563"/>
      <c r="Q9" s="564"/>
      <c r="R9" s="974"/>
      <c r="S9" s="563"/>
      <c r="T9" s="563"/>
      <c r="U9" s="564"/>
      <c r="V9" s="552"/>
      <c r="W9" s="563"/>
      <c r="X9" s="563"/>
      <c r="Y9" s="564"/>
      <c r="Z9" s="552"/>
      <c r="AA9" s="564"/>
      <c r="AB9" s="670"/>
      <c r="AC9" s="657"/>
      <c r="AD9" s="92"/>
      <c r="AE9" s="657"/>
    </row>
    <row r="10" spans="2:33" x14ac:dyDescent="0.25">
      <c r="B10" s="819"/>
      <c r="C10" s="1078" t="s">
        <v>829</v>
      </c>
      <c r="D10" s="865">
        <v>254.49</v>
      </c>
      <c r="E10" s="866">
        <v>254.12</v>
      </c>
      <c r="F10" s="1067">
        <f>$B$3-(D10-$E$3)</f>
        <v>63.009999999999991</v>
      </c>
      <c r="G10" s="1068">
        <f>$B$3-(E10-$E$3)</f>
        <v>63.379999999999995</v>
      </c>
      <c r="H10" s="1073">
        <f>F10+$G$3</f>
        <v>61.809999999999988</v>
      </c>
      <c r="I10" s="1074">
        <f>G10+$G$3</f>
        <v>62.179999999999993</v>
      </c>
      <c r="J10" s="979" t="s">
        <v>834</v>
      </c>
      <c r="K10" s="979" t="s">
        <v>834</v>
      </c>
      <c r="L10" s="982"/>
      <c r="M10" s="978"/>
      <c r="N10" s="982"/>
      <c r="O10" s="981"/>
      <c r="P10" s="984">
        <f>87.4-L10-N10</f>
        <v>87.4</v>
      </c>
      <c r="Q10" s="985">
        <f>87.4-M10-O10</f>
        <v>87.4</v>
      </c>
      <c r="R10" s="674">
        <v>-2.7</v>
      </c>
      <c r="S10" s="1100">
        <v>-2.8</v>
      </c>
      <c r="T10" s="1100">
        <v>8</v>
      </c>
      <c r="U10" s="977">
        <v>8.5</v>
      </c>
      <c r="V10" s="674">
        <v>2</v>
      </c>
      <c r="W10" s="1100">
        <v>2</v>
      </c>
      <c r="X10" s="979">
        <v>13.75</v>
      </c>
      <c r="Y10" s="980">
        <v>13.24</v>
      </c>
      <c r="Z10" s="982"/>
      <c r="AA10" s="978"/>
      <c r="AB10" s="674">
        <v>47.3</v>
      </c>
      <c r="AC10" s="985">
        <f>AB10-(L10+M10)/2/0.8*0.9</f>
        <v>47.3</v>
      </c>
      <c r="AD10" s="778" t="e">
        <f>(Z10+AA10)/(Z10+AA10+Z11+AA11)*100</f>
        <v>#DIV/0!</v>
      </c>
      <c r="AE10" s="779" t="e">
        <f>(Z10+AA11)/(Z10+AA10+Z11+AA11)*100</f>
        <v>#DIV/0!</v>
      </c>
      <c r="AF10" s="380" t="s">
        <v>832</v>
      </c>
    </row>
    <row r="11" spans="2:33" x14ac:dyDescent="0.25">
      <c r="B11" s="820"/>
      <c r="C11" s="406" t="s">
        <v>830</v>
      </c>
      <c r="D11" s="1063">
        <v>297.89</v>
      </c>
      <c r="E11" s="976">
        <v>297.97000000000003</v>
      </c>
      <c r="F11" s="1069">
        <f>$B$5-(D11-$E$5)</f>
        <v>87.509999999999991</v>
      </c>
      <c r="G11" s="1070">
        <f>$B$5-(E11-$E$5)</f>
        <v>87.42999999999995</v>
      </c>
      <c r="H11" s="1075">
        <f>F11+$G$5</f>
        <v>85.609999999999985</v>
      </c>
      <c r="I11" s="1076">
        <f>G11+$G$5</f>
        <v>85.529999999999944</v>
      </c>
      <c r="J11" s="979" t="s">
        <v>835</v>
      </c>
      <c r="K11" s="979" t="s">
        <v>835</v>
      </c>
      <c r="L11" s="982"/>
      <c r="M11" s="978"/>
      <c r="N11" s="982"/>
      <c r="O11" s="981"/>
      <c r="P11" s="984">
        <f>96.4-L11-N11</f>
        <v>96.4</v>
      </c>
      <c r="Q11" s="985">
        <f>96.4-M11-O11</f>
        <v>96.4</v>
      </c>
      <c r="R11" s="983">
        <v>-2.2999999999999998</v>
      </c>
      <c r="S11" s="979">
        <v>-2.2000000000000002</v>
      </c>
      <c r="T11" s="1100">
        <v>4.9000000000000004</v>
      </c>
      <c r="U11" s="977">
        <v>4.6500000000000004</v>
      </c>
      <c r="V11" s="674">
        <v>-1</v>
      </c>
      <c r="W11" s="1100">
        <v>-1</v>
      </c>
      <c r="X11" s="981">
        <v>12.8</v>
      </c>
      <c r="Y11" s="977">
        <v>12.8</v>
      </c>
      <c r="Z11" s="982"/>
      <c r="AA11" s="978"/>
      <c r="AB11" s="674">
        <v>49</v>
      </c>
      <c r="AC11" s="985">
        <f>AB11-(L11+M11)/2/0.8*0.9</f>
        <v>49</v>
      </c>
      <c r="AD11" s="800"/>
      <c r="AE11" s="688"/>
    </row>
    <row r="12" spans="2:33" x14ac:dyDescent="0.25">
      <c r="B12" s="94"/>
      <c r="C12" s="399"/>
      <c r="D12" s="670"/>
      <c r="E12" s="657"/>
      <c r="F12" s="1071"/>
      <c r="G12" s="1072"/>
      <c r="H12" s="1077"/>
      <c r="I12" s="1077"/>
      <c r="J12" s="563"/>
      <c r="K12" s="564"/>
      <c r="L12" s="552"/>
      <c r="M12" s="564"/>
      <c r="N12" s="552"/>
      <c r="O12" s="563"/>
      <c r="P12" s="563"/>
      <c r="Q12" s="564"/>
      <c r="R12" s="974"/>
      <c r="S12" s="563"/>
      <c r="T12" s="563"/>
      <c r="U12" s="564"/>
      <c r="V12" s="552"/>
      <c r="W12" s="563"/>
      <c r="X12" s="563"/>
      <c r="Y12" s="564"/>
      <c r="Z12" s="552"/>
      <c r="AA12" s="564"/>
      <c r="AB12" s="670"/>
      <c r="AC12" s="657"/>
      <c r="AD12" s="92"/>
      <c r="AE12" s="657"/>
    </row>
    <row r="13" spans="2:33" x14ac:dyDescent="0.25">
      <c r="B13" s="819"/>
      <c r="C13" s="1078" t="s">
        <v>829</v>
      </c>
      <c r="D13" s="865">
        <v>254.48</v>
      </c>
      <c r="E13" s="866">
        <v>254.3</v>
      </c>
      <c r="F13" s="1084">
        <f>$B$3-(D13-$E$3)</f>
        <v>63.02000000000001</v>
      </c>
      <c r="G13" s="1085">
        <f>$B$3-(E13-$E$3)</f>
        <v>63.199999999999989</v>
      </c>
      <c r="H13" s="1086">
        <f>F13+$G$3</f>
        <v>61.820000000000007</v>
      </c>
      <c r="I13" s="1087">
        <f>G13+$G$3</f>
        <v>61.999999999999986</v>
      </c>
      <c r="J13" s="979" t="s">
        <v>834</v>
      </c>
      <c r="K13" s="979" t="s">
        <v>834</v>
      </c>
      <c r="L13" s="982">
        <v>28.3</v>
      </c>
      <c r="M13" s="978">
        <v>27.8</v>
      </c>
      <c r="N13" s="982"/>
      <c r="O13" s="981"/>
      <c r="P13" s="984">
        <f>87.4-L13-N13</f>
        <v>59.100000000000009</v>
      </c>
      <c r="Q13" s="985">
        <f>87.4-M13-O13</f>
        <v>59.600000000000009</v>
      </c>
      <c r="R13" s="674">
        <v>-2.7</v>
      </c>
      <c r="S13" s="1100">
        <v>-2.8</v>
      </c>
      <c r="T13" s="1100">
        <v>8</v>
      </c>
      <c r="U13" s="977">
        <v>8.5</v>
      </c>
      <c r="V13" s="674">
        <v>2</v>
      </c>
      <c r="W13" s="1100">
        <v>2.1</v>
      </c>
      <c r="X13" s="979">
        <v>13.75</v>
      </c>
      <c r="Y13" s="980">
        <v>13.24</v>
      </c>
      <c r="Z13" s="982">
        <v>252.9</v>
      </c>
      <c r="AA13" s="978">
        <v>254.7</v>
      </c>
      <c r="AB13" s="674">
        <v>47.3</v>
      </c>
      <c r="AC13" s="985">
        <v>47.3</v>
      </c>
      <c r="AD13" s="778">
        <f>(Z13+AA13)/(Z13+AA13+Z14+AA14)*100</f>
        <v>44.726407613005549</v>
      </c>
      <c r="AE13" s="779">
        <f>(Z13+AA14)/(Z13+AA13+Z14+AA14)*100</f>
        <v>49.317120451141072</v>
      </c>
    </row>
    <row r="14" spans="2:33" x14ac:dyDescent="0.25">
      <c r="B14" s="820"/>
      <c r="C14" s="406" t="s">
        <v>831</v>
      </c>
      <c r="D14" s="975">
        <v>297.58999999999997</v>
      </c>
      <c r="E14" s="976">
        <v>297.67</v>
      </c>
      <c r="F14" s="1088">
        <f>$B$5-(D14-$E$5)</f>
        <v>87.81</v>
      </c>
      <c r="G14" s="1089">
        <f>$B$5-(E14-$E$5)</f>
        <v>87.729999999999961</v>
      </c>
      <c r="H14" s="1090">
        <f>F14+$G$5</f>
        <v>85.91</v>
      </c>
      <c r="I14" s="1091">
        <f>G14+$G$5</f>
        <v>85.829999999999956</v>
      </c>
      <c r="J14" s="979" t="s">
        <v>836</v>
      </c>
      <c r="K14" s="979" t="s">
        <v>836</v>
      </c>
      <c r="L14" s="982">
        <v>18.7</v>
      </c>
      <c r="M14" s="978">
        <v>17.399999999999999</v>
      </c>
      <c r="N14" s="982"/>
      <c r="O14" s="981"/>
      <c r="P14" s="984">
        <f>96.4-L14-N14</f>
        <v>77.7</v>
      </c>
      <c r="Q14" s="985">
        <f>96.4-M14-O14</f>
        <v>79</v>
      </c>
      <c r="R14" s="983">
        <v>-2.2999999999999998</v>
      </c>
      <c r="S14" s="979">
        <v>-2.2000000000000002</v>
      </c>
      <c r="T14" s="1100">
        <v>4.9000000000000004</v>
      </c>
      <c r="U14" s="977">
        <v>4.6500000000000004</v>
      </c>
      <c r="V14" s="674">
        <v>-1</v>
      </c>
      <c r="W14" s="1100">
        <v>-1</v>
      </c>
      <c r="X14" s="981">
        <v>12.8</v>
      </c>
      <c r="Y14" s="977">
        <v>12.8</v>
      </c>
      <c r="Z14" s="982">
        <v>320.5</v>
      </c>
      <c r="AA14" s="978">
        <v>306.8</v>
      </c>
      <c r="AB14" s="674">
        <v>49</v>
      </c>
      <c r="AC14" s="985">
        <f>AB14-(L14+M14)/2/0.8*0.9</f>
        <v>28.693750000000001</v>
      </c>
      <c r="AD14" s="800"/>
      <c r="AE14" s="688"/>
      <c r="AF14" s="380" t="s">
        <v>833</v>
      </c>
    </row>
    <row r="15" spans="2:33" x14ac:dyDescent="0.25">
      <c r="B15" s="94"/>
      <c r="C15" s="399"/>
      <c r="D15" s="670"/>
      <c r="E15" s="657"/>
      <c r="F15" s="1071"/>
      <c r="G15" s="1072"/>
      <c r="H15" s="1077"/>
      <c r="I15" s="1077"/>
      <c r="J15" s="563"/>
      <c r="K15" s="564"/>
      <c r="L15" s="552"/>
      <c r="M15" s="564"/>
      <c r="N15" s="552"/>
      <c r="O15" s="563"/>
      <c r="P15" s="563"/>
      <c r="Q15" s="564"/>
      <c r="R15" s="974"/>
      <c r="S15" s="563"/>
      <c r="T15" s="563"/>
      <c r="U15" s="564"/>
      <c r="V15" s="552"/>
      <c r="W15" s="563"/>
      <c r="X15" s="563"/>
      <c r="Y15" s="564"/>
      <c r="Z15" s="552"/>
      <c r="AA15" s="564"/>
      <c r="AB15" s="670"/>
      <c r="AC15" s="657"/>
      <c r="AD15" s="92"/>
      <c r="AE15" s="657"/>
    </row>
    <row r="16" spans="2:33" x14ac:dyDescent="0.25">
      <c r="B16" s="819"/>
      <c r="C16" s="1078" t="s">
        <v>837</v>
      </c>
      <c r="D16" s="865">
        <v>253.64</v>
      </c>
      <c r="E16" s="866">
        <v>253.6</v>
      </c>
      <c r="F16" s="1084">
        <f>$B$3-(D16-$E$3)</f>
        <v>63.860000000000014</v>
      </c>
      <c r="G16" s="1085">
        <f>$B$3-(E16-$E$3)</f>
        <v>63.900000000000006</v>
      </c>
      <c r="H16" s="1086">
        <f>F16+$G$3</f>
        <v>62.660000000000011</v>
      </c>
      <c r="I16" s="1087">
        <f>G16+$G$3</f>
        <v>62.7</v>
      </c>
      <c r="J16" s="979" t="s">
        <v>839</v>
      </c>
      <c r="K16" s="979" t="s">
        <v>839</v>
      </c>
      <c r="L16" s="982"/>
      <c r="M16" s="978"/>
      <c r="N16" s="982"/>
      <c r="O16" s="981"/>
      <c r="P16" s="984">
        <f>87.4-L16-N16</f>
        <v>87.4</v>
      </c>
      <c r="Q16" s="985">
        <f>87.4-M16-O16</f>
        <v>87.4</v>
      </c>
      <c r="R16" s="674">
        <v>-2.7</v>
      </c>
      <c r="S16" s="1100">
        <v>-2.5</v>
      </c>
      <c r="T16" s="1100"/>
      <c r="U16" s="977"/>
      <c r="V16" s="674">
        <v>2</v>
      </c>
      <c r="W16" s="1100">
        <v>2.1</v>
      </c>
      <c r="X16" s="979"/>
      <c r="Y16" s="980"/>
      <c r="Z16" s="982">
        <v>254.9</v>
      </c>
      <c r="AA16" s="978">
        <v>257.8</v>
      </c>
      <c r="AB16" s="674">
        <v>47.3</v>
      </c>
      <c r="AC16" s="985">
        <f>AB16-(L16+M16)/2/0.8*0.9</f>
        <v>47.3</v>
      </c>
      <c r="AD16" s="778">
        <f>(Z16+AA16)/(Z16+AA16+Z17+AA17)*100</f>
        <v>44.890990281061214</v>
      </c>
      <c r="AE16" s="779">
        <f>(Z16+AA17)/(Z16+AA16+Z17+AA17)*100</f>
        <v>49.41773925225462</v>
      </c>
    </row>
    <row r="17" spans="2:32" x14ac:dyDescent="0.25">
      <c r="B17" s="820"/>
      <c r="C17" s="406"/>
      <c r="D17" s="975">
        <v>296.89999999999998</v>
      </c>
      <c r="E17" s="976">
        <v>296.99</v>
      </c>
      <c r="F17" s="1088">
        <f>$B$5-(D17-$E$5)</f>
        <v>88.5</v>
      </c>
      <c r="G17" s="1089">
        <f>$B$5-(E17-$E$5)</f>
        <v>88.409999999999968</v>
      </c>
      <c r="H17" s="1090">
        <f>F17+$G$5</f>
        <v>86.6</v>
      </c>
      <c r="I17" s="1091">
        <f>G17+$G$5</f>
        <v>86.509999999999962</v>
      </c>
      <c r="J17" s="979" t="s">
        <v>840</v>
      </c>
      <c r="K17" s="979" t="s">
        <v>840</v>
      </c>
      <c r="L17" s="982"/>
      <c r="M17" s="978"/>
      <c r="N17" s="982"/>
      <c r="O17" s="981"/>
      <c r="P17" s="984">
        <f>96.4-L17-N17</f>
        <v>96.4</v>
      </c>
      <c r="Q17" s="985">
        <f>96.4-M17-O17</f>
        <v>96.4</v>
      </c>
      <c r="R17" s="983">
        <v>-2.2000000000000002</v>
      </c>
      <c r="S17" s="979">
        <v>-2.2000000000000002</v>
      </c>
      <c r="T17" s="1100"/>
      <c r="U17" s="977"/>
      <c r="V17" s="674">
        <v>-1</v>
      </c>
      <c r="W17" s="1100">
        <v>-1</v>
      </c>
      <c r="X17" s="981"/>
      <c r="Y17" s="977"/>
      <c r="Z17" s="982">
        <v>319.89999999999998</v>
      </c>
      <c r="AA17" s="978">
        <v>309.5</v>
      </c>
      <c r="AB17" s="674">
        <v>46</v>
      </c>
      <c r="AC17" s="985">
        <f>AB17-(L17+M17)/2/0.8*0.9</f>
        <v>46</v>
      </c>
      <c r="AD17" s="800"/>
      <c r="AE17" s="688"/>
      <c r="AF17" s="380" t="s">
        <v>833</v>
      </c>
    </row>
    <row r="18" spans="2:32" x14ac:dyDescent="0.25">
      <c r="B18" s="94"/>
      <c r="C18" s="1078" t="s">
        <v>838</v>
      </c>
      <c r="D18" s="670"/>
      <c r="E18" s="657"/>
      <c r="F18" s="1071"/>
      <c r="G18" s="1072"/>
      <c r="H18" s="1077"/>
      <c r="I18" s="1077"/>
      <c r="J18" s="563"/>
      <c r="K18" s="564"/>
      <c r="L18" s="552"/>
      <c r="M18" s="564"/>
      <c r="N18" s="552"/>
      <c r="O18" s="563"/>
      <c r="P18" s="563"/>
      <c r="Q18" s="564"/>
      <c r="R18" s="974"/>
      <c r="S18" s="563"/>
      <c r="T18" s="563"/>
      <c r="U18" s="564"/>
      <c r="V18" s="552"/>
      <c r="W18" s="563"/>
      <c r="X18" s="563"/>
      <c r="Y18" s="564"/>
      <c r="Z18" s="552"/>
      <c r="AA18" s="564"/>
      <c r="AB18" s="670"/>
      <c r="AC18" s="657"/>
      <c r="AD18" s="92"/>
      <c r="AE18" s="657"/>
    </row>
    <row r="19" spans="2:32" x14ac:dyDescent="0.25">
      <c r="B19" s="819"/>
      <c r="C19" s="1078"/>
      <c r="D19" s="865">
        <v>252.32</v>
      </c>
      <c r="E19" s="866">
        <v>252.15</v>
      </c>
      <c r="F19" s="1067">
        <f>$B$3-(D19-$E$3)</f>
        <v>65.180000000000007</v>
      </c>
      <c r="G19" s="1068">
        <f>$B$3-(E19-$E$3)</f>
        <v>65.349999999999994</v>
      </c>
      <c r="H19" s="1073">
        <f>F19+$G$3</f>
        <v>63.980000000000004</v>
      </c>
      <c r="I19" s="1074">
        <f>G19+$G$3</f>
        <v>64.149999999999991</v>
      </c>
      <c r="J19" s="979" t="s">
        <v>841</v>
      </c>
      <c r="K19" s="979" t="s">
        <v>841</v>
      </c>
      <c r="L19" s="982"/>
      <c r="M19" s="978"/>
      <c r="N19" s="982"/>
      <c r="O19" s="981"/>
      <c r="P19" s="984">
        <f>87.4-L19-N19</f>
        <v>87.4</v>
      </c>
      <c r="Q19" s="985">
        <f>87.4-M19-O19</f>
        <v>87.4</v>
      </c>
      <c r="R19" s="674">
        <v>-2.7</v>
      </c>
      <c r="S19" s="1100">
        <v>-2.5</v>
      </c>
      <c r="T19" s="1100">
        <v>8</v>
      </c>
      <c r="U19" s="977">
        <v>8.5</v>
      </c>
      <c r="V19" s="674">
        <v>2</v>
      </c>
      <c r="W19" s="1100">
        <v>2.1</v>
      </c>
      <c r="X19" s="979">
        <v>13.75</v>
      </c>
      <c r="Y19" s="980">
        <v>13.24</v>
      </c>
      <c r="Z19" s="982">
        <v>256.5</v>
      </c>
      <c r="AA19" s="978">
        <v>253.4</v>
      </c>
      <c r="AB19" s="674">
        <v>47.3</v>
      </c>
      <c r="AC19" s="985">
        <f>AB19-(L19+M19)/2/0.8*0.9</f>
        <v>47.3</v>
      </c>
      <c r="AD19" s="778">
        <f>(Z19+AA19)/(Z19+AA19+Z20+AA20)*100</f>
        <v>44.767339771729588</v>
      </c>
      <c r="AE19" s="779">
        <f>(Z19+AA20)/(Z19+AA19+Z20+AA20)*100</f>
        <v>49.991220368744507</v>
      </c>
    </row>
    <row r="20" spans="2:32" x14ac:dyDescent="0.25">
      <c r="B20" s="820"/>
      <c r="C20" s="1092"/>
      <c r="D20" s="975">
        <v>297.64999999999998</v>
      </c>
      <c r="E20" s="976">
        <v>297.66000000000003</v>
      </c>
      <c r="F20" s="1069">
        <f>$B$5-(D20-$E$5)</f>
        <v>87.75</v>
      </c>
      <c r="G20" s="1070">
        <f>$B$5-(E20-$E$5)</f>
        <v>87.739999999999952</v>
      </c>
      <c r="H20" s="1075">
        <f>F20+$G$5</f>
        <v>85.85</v>
      </c>
      <c r="I20" s="1076">
        <f>G20+$G$5</f>
        <v>85.839999999999947</v>
      </c>
      <c r="J20" s="979" t="s">
        <v>840</v>
      </c>
      <c r="K20" s="979" t="s">
        <v>840</v>
      </c>
      <c r="L20" s="982"/>
      <c r="M20" s="978"/>
      <c r="N20" s="982"/>
      <c r="O20" s="981"/>
      <c r="P20" s="984">
        <f>96.4-L20-N20</f>
        <v>96.4</v>
      </c>
      <c r="Q20" s="985">
        <f>96.4-M20-O20</f>
        <v>96.4</v>
      </c>
      <c r="R20" s="983">
        <v>-2.4</v>
      </c>
      <c r="S20" s="979">
        <v>-2.2000000000000002</v>
      </c>
      <c r="T20" s="1100">
        <v>4.2</v>
      </c>
      <c r="U20" s="977">
        <v>4.6500000000000004</v>
      </c>
      <c r="V20" s="674">
        <v>-1</v>
      </c>
      <c r="W20" s="1100">
        <v>-1</v>
      </c>
      <c r="X20" s="981">
        <v>12.3</v>
      </c>
      <c r="Y20" s="977">
        <v>12.8</v>
      </c>
      <c r="Z20" s="982">
        <v>316.2</v>
      </c>
      <c r="AA20" s="978">
        <v>312.89999999999998</v>
      </c>
      <c r="AB20" s="674">
        <v>46</v>
      </c>
      <c r="AC20" s="985">
        <f>AB20-(L20+M20)/2/0.8*0.9</f>
        <v>46</v>
      </c>
      <c r="AD20" s="800"/>
      <c r="AE20" s="688"/>
      <c r="AF20" s="380" t="s">
        <v>833</v>
      </c>
    </row>
    <row r="21" spans="2:32" x14ac:dyDescent="0.25">
      <c r="B21" s="94"/>
      <c r="C21" s="1078" t="s">
        <v>842</v>
      </c>
      <c r="D21" s="670"/>
      <c r="E21" s="657"/>
      <c r="F21" s="1071"/>
      <c r="G21" s="1072"/>
      <c r="H21" s="1077"/>
      <c r="I21" s="1077"/>
      <c r="J21" s="563"/>
      <c r="K21" s="564"/>
      <c r="L21" s="552"/>
      <c r="M21" s="564"/>
      <c r="N21" s="552"/>
      <c r="O21" s="563"/>
      <c r="P21" s="563"/>
      <c r="Q21" s="564"/>
      <c r="R21" s="974"/>
      <c r="S21" s="563"/>
      <c r="T21" s="563"/>
      <c r="U21" s="564"/>
      <c r="V21" s="552"/>
      <c r="W21" s="563"/>
      <c r="X21" s="563"/>
      <c r="Y21" s="564"/>
      <c r="Z21" s="552"/>
      <c r="AA21" s="564"/>
      <c r="AB21" s="670"/>
      <c r="AC21" s="657"/>
      <c r="AD21" s="92"/>
      <c r="AE21" s="657"/>
    </row>
    <row r="22" spans="2:32" x14ac:dyDescent="0.25">
      <c r="B22" s="819"/>
      <c r="C22" s="1078"/>
      <c r="D22" s="865">
        <v>253.04</v>
      </c>
      <c r="E22" s="866">
        <v>252.77</v>
      </c>
      <c r="F22" s="1067">
        <f>$B$3-(D22-$E$3)</f>
        <v>64.460000000000008</v>
      </c>
      <c r="G22" s="1068">
        <f>$B$3-(E22-$E$3)</f>
        <v>64.72999999999999</v>
      </c>
      <c r="H22" s="1073">
        <f>F22+$G$3</f>
        <v>63.260000000000005</v>
      </c>
      <c r="I22" s="1074">
        <f>G22+$G$3</f>
        <v>63.529999999999987</v>
      </c>
      <c r="J22" s="979" t="s">
        <v>841</v>
      </c>
      <c r="K22" s="979" t="s">
        <v>841</v>
      </c>
      <c r="L22" s="982"/>
      <c r="M22" s="978"/>
      <c r="N22" s="982"/>
      <c r="O22" s="981"/>
      <c r="P22" s="984">
        <f>87.4-L22-N22</f>
        <v>87.4</v>
      </c>
      <c r="Q22" s="985">
        <f>87.4-M22-O22</f>
        <v>87.4</v>
      </c>
      <c r="R22" s="674">
        <v>-2.8</v>
      </c>
      <c r="S22" s="1099">
        <v>-2.6</v>
      </c>
      <c r="T22" s="1104">
        <v>7.2</v>
      </c>
      <c r="U22" s="977">
        <v>8.5</v>
      </c>
      <c r="V22" s="674">
        <v>2</v>
      </c>
      <c r="W22" s="973">
        <v>2</v>
      </c>
      <c r="X22" s="979">
        <v>13.55</v>
      </c>
      <c r="Y22" s="980">
        <v>13.24</v>
      </c>
      <c r="Z22" s="982">
        <v>262.3</v>
      </c>
      <c r="AA22" s="978">
        <v>253.4</v>
      </c>
      <c r="AB22" s="674">
        <v>47.3</v>
      </c>
      <c r="AC22" s="985">
        <f>AB22-(L22+M22)/2/0.8*0.9</f>
        <v>47.3</v>
      </c>
      <c r="AD22" s="778">
        <f>(Z22+AA22)/(Z22+AA22+Z23+AA23)*100</f>
        <v>44.960767218831741</v>
      </c>
      <c r="AE22" s="779">
        <f>(Z22+AA23)/(Z22+AA22+Z23+AA23)*100</f>
        <v>50.470793374019188</v>
      </c>
    </row>
    <row r="23" spans="2:32" x14ac:dyDescent="0.25">
      <c r="B23" s="820"/>
      <c r="C23" s="406"/>
      <c r="D23" s="1063">
        <v>299.87</v>
      </c>
      <c r="E23" s="976">
        <v>300</v>
      </c>
      <c r="F23" s="1069">
        <f>$B$5-(D23-$E$5)</f>
        <v>85.529999999999973</v>
      </c>
      <c r="G23" s="1070">
        <f>$B$5-(E23-$E$5)</f>
        <v>85.399999999999977</v>
      </c>
      <c r="H23" s="1075">
        <f>F23+$G$5</f>
        <v>83.629999999999967</v>
      </c>
      <c r="I23" s="1076">
        <f>G23+$G$5</f>
        <v>83.499999999999972</v>
      </c>
      <c r="J23" s="979" t="s">
        <v>843</v>
      </c>
      <c r="K23" s="979" t="s">
        <v>843</v>
      </c>
      <c r="L23" s="982"/>
      <c r="M23" s="978"/>
      <c r="N23" s="982"/>
      <c r="O23" s="981"/>
      <c r="P23" s="984">
        <f>96.4-L23-N23</f>
        <v>96.4</v>
      </c>
      <c r="Q23" s="985">
        <f>96.4-M23-O23</f>
        <v>96.4</v>
      </c>
      <c r="R23" s="983">
        <v>2.4</v>
      </c>
      <c r="S23" s="979">
        <v>2.2000000000000002</v>
      </c>
      <c r="T23" s="1104">
        <v>4.2</v>
      </c>
      <c r="U23" s="977">
        <v>4.6500000000000004</v>
      </c>
      <c r="V23" s="674">
        <v>-1</v>
      </c>
      <c r="W23" s="973">
        <v>-1</v>
      </c>
      <c r="X23" s="981">
        <v>12.3</v>
      </c>
      <c r="Y23" s="977">
        <v>12.8</v>
      </c>
      <c r="Z23" s="982">
        <v>314.7</v>
      </c>
      <c r="AA23" s="978">
        <v>316.60000000000002</v>
      </c>
      <c r="AB23" s="674">
        <v>42</v>
      </c>
      <c r="AC23" s="985">
        <f>AB23-(L23+M23)/2/0.8*0.9</f>
        <v>42</v>
      </c>
      <c r="AD23" s="800"/>
      <c r="AE23" s="688"/>
      <c r="AF23" s="380" t="s">
        <v>832</v>
      </c>
    </row>
    <row r="24" spans="2:32" x14ac:dyDescent="0.25">
      <c r="B24" s="94"/>
      <c r="C24" s="1078" t="s">
        <v>844</v>
      </c>
      <c r="D24" s="670"/>
      <c r="E24" s="657"/>
      <c r="F24" s="1071"/>
      <c r="G24" s="1072"/>
      <c r="H24" s="1077"/>
      <c r="I24" s="1077"/>
      <c r="J24" s="563"/>
      <c r="K24" s="564"/>
      <c r="L24" s="552"/>
      <c r="M24" s="564"/>
      <c r="N24" s="552"/>
      <c r="O24" s="563"/>
      <c r="P24" s="563"/>
      <c r="Q24" s="564"/>
      <c r="R24" s="974"/>
      <c r="S24" s="563"/>
      <c r="T24" s="563"/>
      <c r="U24" s="564"/>
      <c r="V24" s="552"/>
      <c r="W24" s="563"/>
      <c r="X24" s="563"/>
      <c r="Y24" s="564"/>
      <c r="Z24" s="552"/>
      <c r="AA24" s="564"/>
      <c r="AB24" s="670"/>
      <c r="AC24" s="657"/>
      <c r="AD24" s="92"/>
      <c r="AE24" s="657"/>
    </row>
    <row r="25" spans="2:32" x14ac:dyDescent="0.25">
      <c r="B25" s="819"/>
      <c r="C25" s="1078"/>
      <c r="D25" s="865">
        <v>251.61</v>
      </c>
      <c r="E25" s="866">
        <v>251.47</v>
      </c>
      <c r="F25" s="1067">
        <f>$B$3-(D25-$E$3)</f>
        <v>65.889999999999986</v>
      </c>
      <c r="G25" s="1068">
        <f>$B$3-(E25-$E$3)</f>
        <v>66.03</v>
      </c>
      <c r="H25" s="1073">
        <f>F25+$G$3</f>
        <v>64.689999999999984</v>
      </c>
      <c r="I25" s="1074">
        <f>G25+$G$3</f>
        <v>64.83</v>
      </c>
      <c r="J25" s="979" t="s">
        <v>845</v>
      </c>
      <c r="K25" s="979" t="s">
        <v>845</v>
      </c>
      <c r="L25" s="982">
        <v>27.9</v>
      </c>
      <c r="M25" s="978">
        <v>27.5</v>
      </c>
      <c r="N25" s="982"/>
      <c r="O25" s="981"/>
      <c r="P25" s="984">
        <f>87.4-L25-N25</f>
        <v>59.500000000000007</v>
      </c>
      <c r="Q25" s="985">
        <f>87.4-M25-O25</f>
        <v>59.900000000000006</v>
      </c>
      <c r="R25" s="674">
        <v>-2.8</v>
      </c>
      <c r="S25" s="973">
        <v>-2.6</v>
      </c>
      <c r="T25" s="1099">
        <v>7.2</v>
      </c>
      <c r="U25" s="977">
        <v>8.5</v>
      </c>
      <c r="V25" s="674">
        <v>2</v>
      </c>
      <c r="W25" s="973">
        <v>2.4</v>
      </c>
      <c r="X25" s="979">
        <v>13.55</v>
      </c>
      <c r="Y25" s="980">
        <v>13.24</v>
      </c>
      <c r="Z25" s="982">
        <v>255.2</v>
      </c>
      <c r="AA25" s="978">
        <v>255.3</v>
      </c>
      <c r="AB25" s="674"/>
      <c r="AC25" s="985">
        <f>AB25-(L25+M25)/2/0.8*0.9</f>
        <v>-31.162500000000001</v>
      </c>
      <c r="AD25" s="778">
        <f>(Z25+AA25)/(Z25+AA25+Z26+AA26)*100</f>
        <v>44.812148876404493</v>
      </c>
      <c r="AE25" s="779">
        <f>(Z25+AA26)/(Z25+AA25+Z26+AA26)*100</f>
        <v>49.455758426966291</v>
      </c>
    </row>
    <row r="26" spans="2:32" x14ac:dyDescent="0.25">
      <c r="B26" s="820"/>
      <c r="C26" s="406"/>
      <c r="D26" s="975">
        <v>299.12</v>
      </c>
      <c r="E26" s="976">
        <v>299.07</v>
      </c>
      <c r="F26" s="1069">
        <f>$B$5-(D26-$E$5)</f>
        <v>86.279999999999973</v>
      </c>
      <c r="G26" s="1070">
        <f>$B$5-(E26-$E$5)</f>
        <v>86.329999999999984</v>
      </c>
      <c r="H26" s="1075">
        <f>F26+$G$5</f>
        <v>84.379999999999967</v>
      </c>
      <c r="I26" s="1076">
        <f>G26+$G$5</f>
        <v>84.429999999999978</v>
      </c>
      <c r="J26" s="979" t="s">
        <v>846</v>
      </c>
      <c r="K26" s="979" t="s">
        <v>843</v>
      </c>
      <c r="L26" s="982">
        <v>15.86</v>
      </c>
      <c r="M26" s="978">
        <v>14.2</v>
      </c>
      <c r="N26" s="982"/>
      <c r="O26" s="981"/>
      <c r="P26" s="984">
        <f>96.4-L26-N26</f>
        <v>80.540000000000006</v>
      </c>
      <c r="Q26" s="985">
        <f>96.4-M26-O26</f>
        <v>82.2</v>
      </c>
      <c r="R26" s="983">
        <v>-2.2000000000000002</v>
      </c>
      <c r="S26" s="979">
        <v>-2.2000000000000002</v>
      </c>
      <c r="T26" s="1099">
        <v>4.9000000000000004</v>
      </c>
      <c r="U26" s="977">
        <v>4.6500000000000004</v>
      </c>
      <c r="V26" s="674">
        <v>1</v>
      </c>
      <c r="W26" s="973">
        <v>0.9</v>
      </c>
      <c r="X26" s="981">
        <v>12.8</v>
      </c>
      <c r="Y26" s="977">
        <v>12.8</v>
      </c>
      <c r="Z26" s="982">
        <v>320.5</v>
      </c>
      <c r="AA26" s="978">
        <v>308.2</v>
      </c>
      <c r="AB26" s="674"/>
      <c r="AC26" s="985">
        <f>AB26-(L26+M26)/2/0.8*0.9</f>
        <v>-16.908749999999998</v>
      </c>
      <c r="AD26" s="800"/>
      <c r="AE26" s="688"/>
    </row>
    <row r="27" spans="2:32" x14ac:dyDescent="0.25">
      <c r="B27" s="94"/>
      <c r="C27" s="399" t="s">
        <v>847</v>
      </c>
      <c r="D27" s="670"/>
      <c r="E27" s="657"/>
      <c r="F27" s="1071"/>
      <c r="G27" s="1072"/>
      <c r="H27" s="1077"/>
      <c r="I27" s="1077"/>
      <c r="J27" s="563"/>
      <c r="K27" s="564"/>
      <c r="L27" s="552"/>
      <c r="M27" s="564"/>
      <c r="N27" s="552"/>
      <c r="O27" s="563"/>
      <c r="P27" s="563"/>
      <c r="Q27" s="564"/>
      <c r="R27" s="974"/>
      <c r="S27" s="563"/>
      <c r="T27" s="563"/>
      <c r="U27" s="564"/>
      <c r="V27" s="552"/>
      <c r="W27" s="563"/>
      <c r="X27" s="563"/>
      <c r="Y27" s="564"/>
      <c r="Z27" s="552"/>
      <c r="AA27" s="564"/>
      <c r="AB27" s="670"/>
      <c r="AC27" s="657"/>
      <c r="AD27" s="92"/>
      <c r="AE27" s="657"/>
    </row>
    <row r="28" spans="2:32" x14ac:dyDescent="0.25">
      <c r="B28" s="819"/>
      <c r="C28" s="1078"/>
      <c r="D28" s="865">
        <v>251.61</v>
      </c>
      <c r="E28" s="866">
        <v>251.47</v>
      </c>
      <c r="F28" s="1067">
        <f>$B$3-(D28-$E$3)</f>
        <v>65.889999999999986</v>
      </c>
      <c r="G28" s="1068">
        <f>$B$3-(E28-$E$3)</f>
        <v>66.03</v>
      </c>
      <c r="H28" s="1073">
        <f>F28+$G$3</f>
        <v>64.689999999999984</v>
      </c>
      <c r="I28" s="1074">
        <f>G28+$G$3</f>
        <v>64.83</v>
      </c>
      <c r="J28" s="979" t="s">
        <v>845</v>
      </c>
      <c r="K28" s="979" t="s">
        <v>845</v>
      </c>
      <c r="L28" s="982"/>
      <c r="M28" s="978"/>
      <c r="N28" s="982"/>
      <c r="O28" s="981"/>
      <c r="P28" s="984">
        <f>87.4-L28-N28</f>
        <v>87.4</v>
      </c>
      <c r="Q28" s="985">
        <f>87.4-M28-O28</f>
        <v>87.4</v>
      </c>
      <c r="R28" s="674">
        <v>-2.8</v>
      </c>
      <c r="S28" s="1105">
        <v>-2.6</v>
      </c>
      <c r="T28" s="1104">
        <v>7.2</v>
      </c>
      <c r="U28" s="977">
        <v>8.5</v>
      </c>
      <c r="V28" s="674">
        <v>2</v>
      </c>
      <c r="W28" s="1104">
        <v>2</v>
      </c>
      <c r="X28" s="979">
        <v>13.55</v>
      </c>
      <c r="Y28" s="980">
        <v>13.14</v>
      </c>
      <c r="Z28" s="982"/>
      <c r="AA28" s="978"/>
      <c r="AB28" s="674"/>
      <c r="AC28" s="985">
        <f>AB28-(L28+M28)/2/0.8*0.9</f>
        <v>0</v>
      </c>
      <c r="AD28" s="778" t="e">
        <f>(Z28+AA28)/(Z28+AA28+Z29+AA29)*100</f>
        <v>#DIV/0!</v>
      </c>
      <c r="AE28" s="779" t="e">
        <f>(Z28+AA29)/(Z28+AA28+Z29+AA29)*100</f>
        <v>#DIV/0!</v>
      </c>
    </row>
    <row r="29" spans="2:32" x14ac:dyDescent="0.25">
      <c r="B29" s="820"/>
      <c r="C29" s="406"/>
      <c r="D29" s="975">
        <v>299.12</v>
      </c>
      <c r="E29" s="976">
        <v>299.07</v>
      </c>
      <c r="F29" s="1069">
        <f>$B$5-(D29-$E$5)</f>
        <v>86.279999999999973</v>
      </c>
      <c r="G29" s="1070">
        <f>$B$5-(E29-$E$5)</f>
        <v>86.329999999999984</v>
      </c>
      <c r="H29" s="1075">
        <f>F29+$G$5</f>
        <v>84.379999999999967</v>
      </c>
      <c r="I29" s="1076">
        <f>G29+$G$5</f>
        <v>84.429999999999978</v>
      </c>
      <c r="J29" s="979" t="s">
        <v>846</v>
      </c>
      <c r="K29" s="979" t="s">
        <v>843</v>
      </c>
      <c r="L29" s="982"/>
      <c r="M29" s="978"/>
      <c r="N29" s="982"/>
      <c r="O29" s="981"/>
      <c r="P29" s="984">
        <f>96.4-L29-N29</f>
        <v>96.4</v>
      </c>
      <c r="Q29" s="985">
        <f>96.4-M29-O29</f>
        <v>96.4</v>
      </c>
      <c r="R29" s="983">
        <v>-2.2000000000000002</v>
      </c>
      <c r="S29" s="979">
        <v>-2.2000000000000002</v>
      </c>
      <c r="T29" s="1104">
        <v>4.9000000000000004</v>
      </c>
      <c r="U29" s="977">
        <v>4.6500000000000004</v>
      </c>
      <c r="V29" s="674">
        <v>1</v>
      </c>
      <c r="W29" s="1104">
        <v>1</v>
      </c>
      <c r="X29" s="981">
        <v>12.8</v>
      </c>
      <c r="Y29" s="977">
        <v>12.8</v>
      </c>
      <c r="Z29" s="982"/>
      <c r="AA29" s="978"/>
      <c r="AB29" s="674"/>
      <c r="AC29" s="985">
        <f>AB29-(L29+M29)/2/0.8*0.9</f>
        <v>0</v>
      </c>
      <c r="AD29" s="800"/>
      <c r="AE29" s="68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7C3C-887B-439F-AA31-FF674BC9EF51}">
  <sheetPr codeName="Sheet2"/>
  <dimension ref="A4:O65"/>
  <sheetViews>
    <sheetView showGridLines="0" view="pageLayout" zoomScaleNormal="100" workbookViewId="0">
      <selection activeCell="D31" sqref="D31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25" t="s">
        <v>0</v>
      </c>
      <c r="B4" s="1126"/>
      <c r="C4" s="1126"/>
      <c r="D4" s="1126"/>
      <c r="E4" s="1126"/>
      <c r="F4" s="1127"/>
    </row>
    <row r="5" spans="1:6" x14ac:dyDescent="0.2">
      <c r="A5" s="2" t="s">
        <v>1</v>
      </c>
      <c r="B5" s="1128" t="s">
        <v>756</v>
      </c>
      <c r="C5" s="1129"/>
      <c r="D5" s="3" t="s">
        <v>2</v>
      </c>
      <c r="E5" s="1130" t="s">
        <v>813</v>
      </c>
      <c r="F5" s="1131"/>
    </row>
    <row r="6" spans="1:6" x14ac:dyDescent="0.2">
      <c r="A6" s="4" t="s">
        <v>3</v>
      </c>
      <c r="B6" s="1132"/>
      <c r="C6" s="1133"/>
      <c r="D6" s="5" t="s">
        <v>4</v>
      </c>
      <c r="E6" s="1134" t="s">
        <v>814</v>
      </c>
      <c r="F6" s="1135"/>
    </row>
    <row r="7" spans="1:6" x14ac:dyDescent="0.2">
      <c r="A7" s="6" t="s">
        <v>5</v>
      </c>
      <c r="B7" s="1121" t="s">
        <v>815</v>
      </c>
      <c r="C7" s="1122"/>
      <c r="D7" s="7" t="s">
        <v>6</v>
      </c>
      <c r="E7" s="1123" t="s">
        <v>816</v>
      </c>
      <c r="F7" s="1124"/>
    </row>
    <row r="9" spans="1:6" x14ac:dyDescent="0.2">
      <c r="A9" s="1111" t="s">
        <v>7</v>
      </c>
      <c r="B9" s="698"/>
      <c r="C9" s="699"/>
      <c r="D9" s="8" t="s">
        <v>752</v>
      </c>
      <c r="E9" s="8" t="s">
        <v>753</v>
      </c>
      <c r="F9" s="9" t="s">
        <v>754</v>
      </c>
    </row>
    <row r="10" spans="1:6" x14ac:dyDescent="0.2">
      <c r="A10" s="1112"/>
      <c r="B10" s="700"/>
      <c r="C10" s="701"/>
      <c r="D10" s="680">
        <v>0</v>
      </c>
      <c r="E10" s="680">
        <v>0</v>
      </c>
      <c r="F10" s="947">
        <v>0</v>
      </c>
    </row>
    <row r="12" spans="1:6" ht="12.75" customHeight="1" x14ac:dyDescent="0.2">
      <c r="A12" s="1113" t="s">
        <v>759</v>
      </c>
      <c r="B12" s="959" t="s">
        <v>785</v>
      </c>
      <c r="C12" s="960" t="s">
        <v>785</v>
      </c>
      <c r="D12" s="1114" t="s">
        <v>11</v>
      </c>
      <c r="E12" s="1011"/>
      <c r="F12" s="1012"/>
    </row>
    <row r="13" spans="1:6" x14ac:dyDescent="0.2">
      <c r="A13" s="1112"/>
      <c r="B13" s="961" t="s">
        <v>786</v>
      </c>
      <c r="C13" s="962" t="s">
        <v>786</v>
      </c>
      <c r="D13" s="1115"/>
      <c r="E13" s="1013"/>
      <c r="F13" s="1014"/>
    </row>
    <row r="15" spans="1:6" x14ac:dyDescent="0.2">
      <c r="A15" s="1116" t="s">
        <v>48</v>
      </c>
      <c r="B15" s="64">
        <v>-2.9</v>
      </c>
      <c r="C15" s="64">
        <v>-2.6</v>
      </c>
      <c r="D15" s="1118" t="s">
        <v>508</v>
      </c>
      <c r="E15" s="1040">
        <v>2</v>
      </c>
      <c r="F15" s="1041">
        <v>2</v>
      </c>
    </row>
    <row r="16" spans="1:6" x14ac:dyDescent="0.2">
      <c r="A16" s="1117"/>
      <c r="B16" s="958">
        <v>-2.6</v>
      </c>
      <c r="C16" s="958">
        <v>-2.2999999999999998</v>
      </c>
      <c r="D16" s="1119"/>
      <c r="E16" s="1042">
        <v>-1</v>
      </c>
      <c r="F16" s="1043">
        <v>-1</v>
      </c>
    </row>
    <row r="17" spans="1:15" x14ac:dyDescent="0.2">
      <c r="A17" s="12" t="s">
        <v>12</v>
      </c>
      <c r="B17" s="956">
        <v>6.2</v>
      </c>
      <c r="C17" s="67">
        <v>8.8000000000000007</v>
      </c>
      <c r="D17" s="14" t="s">
        <v>12</v>
      </c>
      <c r="E17" s="967">
        <v>13.18</v>
      </c>
      <c r="F17" s="968">
        <v>14.34</v>
      </c>
    </row>
    <row r="18" spans="1:15" x14ac:dyDescent="0.2">
      <c r="A18" s="16"/>
      <c r="B18" s="957">
        <v>3.7</v>
      </c>
      <c r="C18" s="957">
        <v>5.0999999999999996</v>
      </c>
      <c r="D18" s="18"/>
      <c r="E18" s="969">
        <v>12</v>
      </c>
      <c r="F18" s="970">
        <v>12.92</v>
      </c>
    </row>
    <row r="20" spans="1:15" x14ac:dyDescent="0.2">
      <c r="A20" s="2" t="s">
        <v>374</v>
      </c>
      <c r="B20" s="19"/>
      <c r="C20" s="19" t="s">
        <v>787</v>
      </c>
      <c r="D20" s="19" t="s">
        <v>788</v>
      </c>
      <c r="E20" s="19" t="s">
        <v>789</v>
      </c>
      <c r="F20" s="352" t="s">
        <v>94</v>
      </c>
    </row>
    <row r="21" spans="1:15" x14ac:dyDescent="0.2">
      <c r="A21" s="21"/>
      <c r="B21" s="47" t="s">
        <v>790</v>
      </c>
      <c r="C21" s="57" t="s">
        <v>566</v>
      </c>
      <c r="D21" s="57" t="s">
        <v>49</v>
      </c>
      <c r="E21" s="23"/>
      <c r="F21" s="1015">
        <v>9</v>
      </c>
    </row>
    <row r="22" spans="1:15" x14ac:dyDescent="0.2">
      <c r="A22" s="24"/>
      <c r="B22" s="25" t="s">
        <v>791</v>
      </c>
      <c r="C22" s="56" t="s">
        <v>49</v>
      </c>
      <c r="D22" s="60"/>
      <c r="E22" s="56" t="s">
        <v>566</v>
      </c>
      <c r="F22" s="1016">
        <v>4</v>
      </c>
      <c r="H22" s="1120" t="s">
        <v>536</v>
      </c>
      <c r="I22" s="1120"/>
      <c r="J22" s="1120"/>
    </row>
    <row r="23" spans="1:15" ht="13.5" thickBot="1" x14ac:dyDescent="0.25"/>
    <row r="24" spans="1:15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5" ht="13.5" thickBot="1" x14ac:dyDescent="0.25">
      <c r="A25" s="29" t="s">
        <v>13</v>
      </c>
      <c r="B25" s="965" t="s">
        <v>766</v>
      </c>
      <c r="C25" s="61" t="s">
        <v>543</v>
      </c>
      <c r="D25" s="30" t="s">
        <v>13</v>
      </c>
      <c r="E25" s="1017" t="s">
        <v>792</v>
      </c>
      <c r="F25" s="1018" t="s">
        <v>792</v>
      </c>
      <c r="H25" s="821">
        <v>50</v>
      </c>
      <c r="I25" s="822">
        <v>50</v>
      </c>
      <c r="J25" s="823">
        <v>42.3</v>
      </c>
    </row>
    <row r="26" spans="1:15" ht="13.5" thickBot="1" x14ac:dyDescent="0.25">
      <c r="A26" s="32" t="s">
        <v>17</v>
      </c>
      <c r="B26" s="966" t="s">
        <v>765</v>
      </c>
      <c r="C26" s="54" t="s">
        <v>543</v>
      </c>
      <c r="D26" s="25" t="s">
        <v>17</v>
      </c>
      <c r="E26" s="1019" t="s">
        <v>793</v>
      </c>
      <c r="F26" s="1014" t="s">
        <v>793</v>
      </c>
      <c r="H26" s="761" t="s">
        <v>539</v>
      </c>
      <c r="I26" s="762" t="s">
        <v>540</v>
      </c>
      <c r="J26" s="763" t="s">
        <v>542</v>
      </c>
    </row>
    <row r="27" spans="1:15" ht="13.5" thickBot="1" x14ac:dyDescent="0.25">
      <c r="H27" s="824">
        <v>35.700000000000003</v>
      </c>
      <c r="I27" s="825">
        <v>35.700000000000003</v>
      </c>
      <c r="J27" s="826">
        <v>24.4</v>
      </c>
    </row>
    <row r="28" spans="1:15" x14ac:dyDescent="0.2">
      <c r="A28" s="2" t="s">
        <v>23</v>
      </c>
      <c r="B28" s="963" t="s">
        <v>781</v>
      </c>
      <c r="C28" s="963" t="s">
        <v>782</v>
      </c>
      <c r="D28" s="33"/>
      <c r="E28" s="9" t="s">
        <v>512</v>
      </c>
      <c r="F28" s="59" t="s">
        <v>629</v>
      </c>
      <c r="G28" s="220"/>
    </row>
    <row r="29" spans="1:15" x14ac:dyDescent="0.2">
      <c r="A29" s="24"/>
      <c r="B29" s="964" t="s">
        <v>784</v>
      </c>
      <c r="C29" s="964" t="s">
        <v>783</v>
      </c>
      <c r="D29" s="34"/>
      <c r="E29" s="34"/>
      <c r="F29" s="718" t="s">
        <v>630</v>
      </c>
      <c r="G29" s="220"/>
    </row>
    <row r="30" spans="1:15" ht="13.5" thickBot="1" x14ac:dyDescent="0.25">
      <c r="K30" s="756" t="s">
        <v>573</v>
      </c>
    </row>
    <row r="31" spans="1:15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751</v>
      </c>
      <c r="F31" s="1009" t="s">
        <v>481</v>
      </c>
      <c r="G31" s="1004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  <c r="O31" s="1010" t="s">
        <v>779</v>
      </c>
    </row>
    <row r="32" spans="1:15" x14ac:dyDescent="0.2">
      <c r="A32" s="29" t="s">
        <v>26</v>
      </c>
      <c r="B32" s="958" t="s">
        <v>794</v>
      </c>
      <c r="C32" s="1020"/>
      <c r="D32" s="1021">
        <v>41</v>
      </c>
      <c r="E32" s="958" t="s">
        <v>795</v>
      </c>
      <c r="F32" s="1022" t="s">
        <v>796</v>
      </c>
      <c r="G32" s="1005" t="s">
        <v>13</v>
      </c>
      <c r="H32" s="821">
        <v>14.7</v>
      </c>
      <c r="I32" s="822">
        <v>2.2000000000000002</v>
      </c>
      <c r="J32" s="822">
        <v>87.405000000000001</v>
      </c>
      <c r="K32" s="827"/>
      <c r="L32" s="822">
        <f>$J32-$H32-$I32-H25</f>
        <v>20.504999999999995</v>
      </c>
      <c r="M32" s="828">
        <f>$J32-$H32-$I32-I25</f>
        <v>20.504999999999995</v>
      </c>
      <c r="O32" s="1010">
        <v>36.5</v>
      </c>
    </row>
    <row r="33" spans="1:15" ht="13.5" thickBot="1" x14ac:dyDescent="0.25">
      <c r="A33" s="29" t="s">
        <v>27</v>
      </c>
      <c r="B33" s="958" t="s">
        <v>218</v>
      </c>
      <c r="C33" s="1020"/>
      <c r="D33" s="1003">
        <v>47.5</v>
      </c>
      <c r="E33" s="958" t="s">
        <v>797</v>
      </c>
      <c r="F33" s="1023" t="s">
        <v>798</v>
      </c>
      <c r="G33" s="1006" t="s">
        <v>17</v>
      </c>
      <c r="H33" s="821">
        <v>29.3</v>
      </c>
      <c r="I33" s="822">
        <v>2.2000000000000002</v>
      </c>
      <c r="J33" s="822">
        <v>96.4</v>
      </c>
      <c r="K33" s="827"/>
      <c r="L33" s="822">
        <f>$J$33-$H$33-$I$33-H27</f>
        <v>29.200000000000003</v>
      </c>
      <c r="M33" s="828">
        <f>$J$33-$H$33-$I$33-I27</f>
        <v>29.200000000000003</v>
      </c>
      <c r="O33" s="1010">
        <v>52.5</v>
      </c>
    </row>
    <row r="34" spans="1:15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44" t="s">
        <v>799</v>
      </c>
      <c r="F34" s="1023"/>
      <c r="G34" s="1007" t="s">
        <v>89</v>
      </c>
      <c r="H34" s="829"/>
      <c r="I34" s="830"/>
      <c r="J34" s="831">
        <v>172.52</v>
      </c>
      <c r="K34" s="831">
        <v>70.3</v>
      </c>
      <c r="L34" s="1106">
        <f>J34-K34-J25</f>
        <v>59.920000000000016</v>
      </c>
      <c r="M34" s="1107"/>
    </row>
    <row r="35" spans="1:15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1024" t="s">
        <v>800</v>
      </c>
      <c r="F35" s="1025"/>
      <c r="G35" s="1008" t="s">
        <v>90</v>
      </c>
      <c r="H35" s="832"/>
      <c r="I35" s="833"/>
      <c r="J35" s="834">
        <v>233</v>
      </c>
      <c r="K35" s="834">
        <v>140</v>
      </c>
      <c r="L35" s="1108">
        <f>J35-K35-J27</f>
        <v>68.599999999999994</v>
      </c>
      <c r="M35" s="1109"/>
    </row>
    <row r="36" spans="1:15" x14ac:dyDescent="0.2">
      <c r="C36" s="1110" t="s">
        <v>574</v>
      </c>
      <c r="D36" s="1110"/>
      <c r="E36" s="1110"/>
      <c r="F36" s="1110"/>
    </row>
    <row r="37" spans="1:15" x14ac:dyDescent="0.2">
      <c r="A37" s="2" t="s">
        <v>30</v>
      </c>
      <c r="B37" s="33"/>
      <c r="C37" s="37" t="s">
        <v>801</v>
      </c>
      <c r="D37" s="37" t="s">
        <v>802</v>
      </c>
      <c r="E37" s="37" t="s">
        <v>803</v>
      </c>
      <c r="F37" s="38" t="s">
        <v>804</v>
      </c>
    </row>
    <row r="38" spans="1:15" x14ac:dyDescent="0.2">
      <c r="A38" s="62" t="s">
        <v>660</v>
      </c>
      <c r="B38" s="635" t="s">
        <v>13</v>
      </c>
      <c r="C38" s="1026" t="s">
        <v>805</v>
      </c>
      <c r="D38" s="1026" t="s">
        <v>805</v>
      </c>
      <c r="E38" s="1026" t="s">
        <v>805</v>
      </c>
      <c r="F38" s="1027" t="s">
        <v>806</v>
      </c>
    </row>
    <row r="39" spans="1:15" x14ac:dyDescent="0.2">
      <c r="A39" s="63" t="s">
        <v>660</v>
      </c>
      <c r="B39" s="636" t="s">
        <v>17</v>
      </c>
      <c r="C39" s="1028" t="s">
        <v>807</v>
      </c>
      <c r="D39" s="1028" t="s">
        <v>808</v>
      </c>
      <c r="E39" s="1028" t="s">
        <v>808</v>
      </c>
      <c r="F39" s="1029" t="s">
        <v>807</v>
      </c>
    </row>
    <row r="40" spans="1:15" x14ac:dyDescent="0.2">
      <c r="C40" s="1110" t="s">
        <v>574</v>
      </c>
      <c r="D40" s="1110"/>
      <c r="E40" s="1110"/>
      <c r="F40" s="1110"/>
    </row>
    <row r="41" spans="1:15" x14ac:dyDescent="0.2">
      <c r="A41" s="2" t="s">
        <v>33</v>
      </c>
      <c r="B41" s="33"/>
      <c r="C41" s="37" t="s">
        <v>801</v>
      </c>
      <c r="D41" s="37" t="s">
        <v>802</v>
      </c>
      <c r="E41" s="37" t="s">
        <v>803</v>
      </c>
      <c r="F41" s="38" t="s">
        <v>804</v>
      </c>
    </row>
    <row r="42" spans="1:15" x14ac:dyDescent="0.2">
      <c r="A42" s="62" t="s">
        <v>660</v>
      </c>
      <c r="B42" s="635" t="s">
        <v>13</v>
      </c>
      <c r="C42" s="958">
        <v>7</v>
      </c>
      <c r="D42" s="958">
        <v>8</v>
      </c>
      <c r="E42" s="1030">
        <v>11</v>
      </c>
      <c r="F42" s="1031">
        <v>10</v>
      </c>
    </row>
    <row r="43" spans="1:15" x14ac:dyDescent="0.2">
      <c r="A43" s="63" t="s">
        <v>660</v>
      </c>
      <c r="B43" s="636" t="s">
        <v>17</v>
      </c>
      <c r="C43" s="1032">
        <v>11</v>
      </c>
      <c r="D43" s="1032">
        <v>10</v>
      </c>
      <c r="E43" s="680">
        <v>5</v>
      </c>
      <c r="F43" s="947">
        <v>10</v>
      </c>
    </row>
    <row r="44" spans="1:15" x14ac:dyDescent="0.2">
      <c r="D44" s="39"/>
    </row>
    <row r="45" spans="1:15" x14ac:dyDescent="0.2">
      <c r="A45" s="2" t="s">
        <v>52</v>
      </c>
      <c r="B45" s="19" t="s">
        <v>34</v>
      </c>
      <c r="C45" s="899" t="s">
        <v>35</v>
      </c>
      <c r="D45" s="55" t="s">
        <v>809</v>
      </c>
      <c r="E45" s="899"/>
      <c r="F45" s="68"/>
    </row>
    <row r="46" spans="1:15" x14ac:dyDescent="0.2">
      <c r="A46" s="1033" t="s">
        <v>526</v>
      </c>
      <c r="B46" s="56">
        <v>62</v>
      </c>
      <c r="C46" s="899"/>
      <c r="D46" s="56" t="s">
        <v>810</v>
      </c>
      <c r="E46" s="899"/>
      <c r="F46" s="65"/>
    </row>
    <row r="48" spans="1:15" x14ac:dyDescent="0.2">
      <c r="A48" s="42" t="s">
        <v>37</v>
      </c>
      <c r="B48" s="1034" t="s">
        <v>811</v>
      </c>
      <c r="C48" s="44"/>
      <c r="D48" s="44"/>
      <c r="E48" s="52"/>
      <c r="F48" s="43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758</v>
      </c>
      <c r="C50" s="33"/>
      <c r="D50" s="8" t="s">
        <v>39</v>
      </c>
      <c r="E50" s="1035" t="s">
        <v>778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35</v>
      </c>
      <c r="F53" s="65">
        <v>25</v>
      </c>
    </row>
    <row r="55" spans="1:6" x14ac:dyDescent="0.2">
      <c r="A55" s="42" t="s">
        <v>45</v>
      </c>
      <c r="B55" s="66" t="s">
        <v>51</v>
      </c>
      <c r="C55" s="44"/>
      <c r="D55" s="52" t="s">
        <v>659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F58" s="356" t="s">
        <v>511</v>
      </c>
    </row>
    <row r="59" spans="1:6" x14ac:dyDescent="0.2">
      <c r="A59" s="1036" t="s">
        <v>812</v>
      </c>
      <c r="B59" s="1" t="s">
        <v>471</v>
      </c>
      <c r="F59" s="355" t="s">
        <v>263</v>
      </c>
    </row>
    <row r="60" spans="1:6" x14ac:dyDescent="0.2">
      <c r="A60" s="1037" t="s">
        <v>26</v>
      </c>
      <c r="B60" s="1">
        <v>87.4</v>
      </c>
      <c r="F60" s="356" t="s">
        <v>511</v>
      </c>
    </row>
    <row r="61" spans="1:6" x14ac:dyDescent="0.2">
      <c r="A61" s="1037" t="s">
        <v>27</v>
      </c>
      <c r="B61" s="1">
        <v>96.4</v>
      </c>
      <c r="F61" s="355" t="s">
        <v>264</v>
      </c>
    </row>
    <row r="62" spans="1:6" x14ac:dyDescent="0.2">
      <c r="A62" s="1037" t="s">
        <v>28</v>
      </c>
      <c r="B62" s="1">
        <v>172.5</v>
      </c>
      <c r="F62" s="31" t="s">
        <v>513</v>
      </c>
    </row>
    <row r="63" spans="1:6" x14ac:dyDescent="0.2">
      <c r="A63" s="1037" t="s">
        <v>29</v>
      </c>
      <c r="B63" s="1">
        <v>232.9</v>
      </c>
      <c r="F63" s="1038"/>
    </row>
    <row r="64" spans="1:6" x14ac:dyDescent="0.2">
      <c r="A64" s="681"/>
      <c r="F64" s="1038"/>
    </row>
    <row r="65" spans="1:6" x14ac:dyDescent="0.2">
      <c r="A65" s="16"/>
      <c r="B65" s="18"/>
      <c r="C65" s="18"/>
      <c r="D65" s="18"/>
      <c r="E65" s="18"/>
      <c r="F65" s="1039"/>
    </row>
  </sheetData>
  <mergeCells count="17">
    <mergeCell ref="B7:C7"/>
    <mergeCell ref="E7:F7"/>
    <mergeCell ref="A4:F4"/>
    <mergeCell ref="B5:C5"/>
    <mergeCell ref="E5:F5"/>
    <mergeCell ref="B6:C6"/>
    <mergeCell ref="E6:F6"/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1C02-B0B8-430C-A8BA-74EF6F12EDE2}">
  <sheetPr codeName="Sheet3"/>
  <dimension ref="A4:M65"/>
  <sheetViews>
    <sheetView showGridLines="0" view="pageLayout" zoomScaleNormal="100" workbookViewId="0">
      <selection activeCell="E17" sqref="E17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25" t="s">
        <v>0</v>
      </c>
      <c r="B4" s="1126"/>
      <c r="C4" s="1126"/>
      <c r="D4" s="1126"/>
      <c r="E4" s="1126"/>
      <c r="F4" s="1127"/>
    </row>
    <row r="5" spans="1:6" x14ac:dyDescent="0.2">
      <c r="A5" s="2" t="s">
        <v>1</v>
      </c>
      <c r="B5" s="1128" t="s">
        <v>664</v>
      </c>
      <c r="C5" s="1129"/>
      <c r="D5" s="3" t="s">
        <v>2</v>
      </c>
      <c r="E5" s="1130" t="s">
        <v>755</v>
      </c>
      <c r="F5" s="1131"/>
    </row>
    <row r="6" spans="1:6" x14ac:dyDescent="0.2">
      <c r="A6" s="4" t="s">
        <v>3</v>
      </c>
      <c r="B6" s="1132"/>
      <c r="C6" s="1133"/>
      <c r="D6" s="5" t="s">
        <v>4</v>
      </c>
      <c r="E6" s="1134" t="s">
        <v>757</v>
      </c>
      <c r="F6" s="1135"/>
    </row>
    <row r="7" spans="1:6" x14ac:dyDescent="0.2">
      <c r="A7" s="6" t="s">
        <v>5</v>
      </c>
      <c r="B7" s="1121" t="s">
        <v>820</v>
      </c>
      <c r="C7" s="1122"/>
      <c r="D7" s="7" t="s">
        <v>6</v>
      </c>
      <c r="E7" s="1123" t="s">
        <v>819</v>
      </c>
      <c r="F7" s="1124"/>
    </row>
    <row r="9" spans="1:6" x14ac:dyDescent="0.2">
      <c r="A9" s="1111" t="s">
        <v>7</v>
      </c>
      <c r="B9" s="698"/>
      <c r="C9" s="699"/>
      <c r="D9" s="8" t="s">
        <v>752</v>
      </c>
      <c r="E9" s="8" t="s">
        <v>753</v>
      </c>
      <c r="F9" s="9" t="s">
        <v>754</v>
      </c>
    </row>
    <row r="10" spans="1:6" x14ac:dyDescent="0.2">
      <c r="A10" s="1112"/>
      <c r="B10" s="700"/>
      <c r="C10" s="701"/>
      <c r="D10" s="680">
        <v>0</v>
      </c>
      <c r="E10" s="680">
        <v>0</v>
      </c>
      <c r="F10" s="947">
        <v>0</v>
      </c>
    </row>
    <row r="12" spans="1:6" ht="12.75" customHeight="1" x14ac:dyDescent="0.2">
      <c r="A12" s="1113" t="s">
        <v>759</v>
      </c>
      <c r="B12" s="959">
        <v>62</v>
      </c>
      <c r="C12" s="960"/>
      <c r="D12" s="1114" t="s">
        <v>11</v>
      </c>
      <c r="E12" s="1011"/>
      <c r="F12" s="1012"/>
    </row>
    <row r="13" spans="1:6" x14ac:dyDescent="0.2">
      <c r="A13" s="1112"/>
      <c r="B13" s="961">
        <v>82</v>
      </c>
      <c r="C13" s="962"/>
      <c r="D13" s="1115"/>
      <c r="E13" s="1013"/>
      <c r="F13" s="1014"/>
    </row>
    <row r="15" spans="1:6" x14ac:dyDescent="0.2">
      <c r="A15" s="1116" t="s">
        <v>48</v>
      </c>
      <c r="B15" s="64"/>
      <c r="C15" s="64"/>
      <c r="D15" s="1118" t="s">
        <v>508</v>
      </c>
      <c r="E15" s="1040"/>
      <c r="F15" s="1041"/>
    </row>
    <row r="16" spans="1:6" x14ac:dyDescent="0.2">
      <c r="A16" s="1117"/>
      <c r="B16" s="958"/>
      <c r="C16" s="958"/>
      <c r="D16" s="1119"/>
      <c r="E16" s="1042"/>
      <c r="F16" s="1043"/>
    </row>
    <row r="17" spans="1:13" x14ac:dyDescent="0.2">
      <c r="A17" s="12" t="s">
        <v>12</v>
      </c>
      <c r="B17" s="956"/>
      <c r="C17" s="67"/>
      <c r="D17" s="14" t="s">
        <v>12</v>
      </c>
      <c r="E17" s="967"/>
      <c r="F17" s="968"/>
    </row>
    <row r="18" spans="1:13" x14ac:dyDescent="0.2">
      <c r="A18" s="16"/>
      <c r="B18" s="957"/>
      <c r="C18" s="957"/>
      <c r="D18" s="18"/>
      <c r="E18" s="969"/>
      <c r="F18" s="970"/>
    </row>
    <row r="20" spans="1:13" x14ac:dyDescent="0.2">
      <c r="A20" s="2" t="s">
        <v>374</v>
      </c>
      <c r="B20" s="19"/>
      <c r="C20" s="19" t="s">
        <v>787</v>
      </c>
      <c r="D20" s="19" t="s">
        <v>788</v>
      </c>
      <c r="E20" s="19" t="s">
        <v>789</v>
      </c>
      <c r="F20" s="352" t="s">
        <v>94</v>
      </c>
    </row>
    <row r="21" spans="1:13" x14ac:dyDescent="0.2">
      <c r="A21" s="21"/>
      <c r="B21" s="47" t="s">
        <v>790</v>
      </c>
      <c r="C21" s="57" t="s">
        <v>566</v>
      </c>
      <c r="D21" s="57" t="s">
        <v>49</v>
      </c>
      <c r="E21" s="23"/>
      <c r="F21" s="1015">
        <v>9</v>
      </c>
    </row>
    <row r="22" spans="1:13" x14ac:dyDescent="0.2">
      <c r="A22" s="24"/>
      <c r="B22" s="25" t="s">
        <v>791</v>
      </c>
      <c r="C22" s="56" t="s">
        <v>49</v>
      </c>
      <c r="D22" s="60"/>
      <c r="E22" s="56" t="s">
        <v>566</v>
      </c>
      <c r="F22" s="1016">
        <v>4</v>
      </c>
      <c r="H22" s="1120" t="s">
        <v>536</v>
      </c>
      <c r="I22" s="1120"/>
      <c r="J22" s="1120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3" ht="13.5" thickBot="1" x14ac:dyDescent="0.25">
      <c r="A25" s="29" t="s">
        <v>13</v>
      </c>
      <c r="B25" s="1049" t="s">
        <v>766</v>
      </c>
      <c r="C25" s="1050" t="s">
        <v>543</v>
      </c>
      <c r="D25" s="30" t="s">
        <v>13</v>
      </c>
      <c r="E25" s="1053" t="s">
        <v>792</v>
      </c>
      <c r="F25" s="1054" t="s">
        <v>792</v>
      </c>
      <c r="H25" s="821">
        <v>50</v>
      </c>
      <c r="I25" s="822">
        <v>50</v>
      </c>
      <c r="J25" s="823">
        <v>42.3</v>
      </c>
    </row>
    <row r="26" spans="1:13" ht="13.5" thickBot="1" x14ac:dyDescent="0.25">
      <c r="A26" s="32" t="s">
        <v>17</v>
      </c>
      <c r="B26" s="1051" t="s">
        <v>765</v>
      </c>
      <c r="C26" s="1052" t="s">
        <v>543</v>
      </c>
      <c r="D26" s="25" t="s">
        <v>17</v>
      </c>
      <c r="E26" s="1055" t="s">
        <v>793</v>
      </c>
      <c r="F26" s="1056" t="s">
        <v>793</v>
      </c>
      <c r="H26" s="761" t="s">
        <v>539</v>
      </c>
      <c r="I26" s="762" t="s">
        <v>540</v>
      </c>
      <c r="J26" s="763" t="s">
        <v>542</v>
      </c>
    </row>
    <row r="27" spans="1:13" ht="13.5" thickBot="1" x14ac:dyDescent="0.25">
      <c r="H27" s="824">
        <v>35.700000000000003</v>
      </c>
      <c r="I27" s="825">
        <v>35.700000000000003</v>
      </c>
      <c r="J27" s="826">
        <v>24.4</v>
      </c>
    </row>
    <row r="28" spans="1:13" x14ac:dyDescent="0.2">
      <c r="A28" s="2" t="s">
        <v>23</v>
      </c>
      <c r="B28" s="963"/>
      <c r="C28" s="963"/>
      <c r="D28" s="33"/>
      <c r="E28" s="9" t="s">
        <v>512</v>
      </c>
      <c r="F28" s="59" t="s">
        <v>629</v>
      </c>
      <c r="G28" s="220"/>
    </row>
    <row r="29" spans="1:13" x14ac:dyDescent="0.2">
      <c r="A29" s="24"/>
      <c r="B29" s="964"/>
      <c r="C29" s="964"/>
      <c r="D29" s="34"/>
      <c r="E29" s="34"/>
      <c r="F29" s="718" t="s">
        <v>630</v>
      </c>
      <c r="G29" s="220"/>
    </row>
    <row r="30" spans="1:13" ht="13.5" thickBot="1" x14ac:dyDescent="0.25">
      <c r="K30" s="756" t="s">
        <v>573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751</v>
      </c>
      <c r="F31" s="1009" t="s">
        <v>481</v>
      </c>
      <c r="G31" s="768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</row>
    <row r="32" spans="1:13" x14ac:dyDescent="0.2">
      <c r="A32" s="29" t="s">
        <v>26</v>
      </c>
      <c r="B32" s="958"/>
      <c r="C32" s="1020"/>
      <c r="D32" s="1021"/>
      <c r="E32" s="1059" t="s">
        <v>795</v>
      </c>
      <c r="F32" s="1057" t="s">
        <v>796</v>
      </c>
      <c r="G32" s="770" t="s">
        <v>13</v>
      </c>
      <c r="H32" s="821">
        <v>14.7</v>
      </c>
      <c r="I32" s="822">
        <v>2.2000000000000002</v>
      </c>
      <c r="J32" s="822">
        <v>87.405000000000001</v>
      </c>
      <c r="K32" s="827"/>
      <c r="L32" s="822">
        <f>$J32-$H32-$I32-H25</f>
        <v>20.504999999999995</v>
      </c>
      <c r="M32" s="828">
        <f>$J32-$H32-$I32-I25</f>
        <v>20.504999999999995</v>
      </c>
    </row>
    <row r="33" spans="1:13" ht="13.5" thickBot="1" x14ac:dyDescent="0.25">
      <c r="A33" s="29" t="s">
        <v>27</v>
      </c>
      <c r="B33" s="958"/>
      <c r="C33" s="1020"/>
      <c r="D33" s="1003"/>
      <c r="E33" s="1059" t="s">
        <v>797</v>
      </c>
      <c r="F33" s="1058" t="s">
        <v>798</v>
      </c>
      <c r="G33" s="771" t="s">
        <v>17</v>
      </c>
      <c r="H33" s="821">
        <v>29.3</v>
      </c>
      <c r="I33" s="822">
        <v>2.2000000000000002</v>
      </c>
      <c r="J33" s="822">
        <v>96.4</v>
      </c>
      <c r="K33" s="827"/>
      <c r="L33" s="822">
        <f>$J$33-$H$33-$I$33-H27</f>
        <v>29.200000000000003</v>
      </c>
      <c r="M33" s="828">
        <f>$J$33-$H$33-$I$33-I27</f>
        <v>29.200000000000003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1060" t="s">
        <v>799</v>
      </c>
      <c r="F34" s="1023"/>
      <c r="G34" s="772" t="s">
        <v>89</v>
      </c>
      <c r="H34" s="829"/>
      <c r="I34" s="830"/>
      <c r="J34" s="831">
        <v>172.52</v>
      </c>
      <c r="K34" s="831">
        <v>70.3</v>
      </c>
      <c r="L34" s="1106">
        <f>J34-K34-J25</f>
        <v>59.920000000000016</v>
      </c>
      <c r="M34" s="1107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1061" t="s">
        <v>800</v>
      </c>
      <c r="F35" s="1025"/>
      <c r="G35" s="773" t="s">
        <v>90</v>
      </c>
      <c r="H35" s="832"/>
      <c r="I35" s="833"/>
      <c r="J35" s="834">
        <v>233</v>
      </c>
      <c r="K35" s="834">
        <v>140</v>
      </c>
      <c r="L35" s="1108">
        <f>J35-K35-J27</f>
        <v>68.599999999999994</v>
      </c>
      <c r="M35" s="1109"/>
    </row>
    <row r="36" spans="1:13" x14ac:dyDescent="0.2">
      <c r="C36" s="1110" t="s">
        <v>574</v>
      </c>
      <c r="D36" s="1110"/>
      <c r="E36" s="1110"/>
      <c r="F36" s="1110"/>
    </row>
    <row r="37" spans="1:13" x14ac:dyDescent="0.2">
      <c r="A37" s="2" t="s">
        <v>30</v>
      </c>
      <c r="B37" s="33"/>
      <c r="C37" s="37" t="s">
        <v>801</v>
      </c>
      <c r="D37" s="37" t="s">
        <v>802</v>
      </c>
      <c r="E37" s="37" t="s">
        <v>803</v>
      </c>
      <c r="F37" s="38" t="s">
        <v>804</v>
      </c>
    </row>
    <row r="38" spans="1:13" x14ac:dyDescent="0.2">
      <c r="A38" s="62" t="s">
        <v>660</v>
      </c>
      <c r="B38" s="635" t="s">
        <v>13</v>
      </c>
      <c r="C38" s="1026" t="s">
        <v>805</v>
      </c>
      <c r="D38" s="1026" t="s">
        <v>805</v>
      </c>
      <c r="E38" s="1026" t="s">
        <v>805</v>
      </c>
      <c r="F38" s="1027" t="s">
        <v>806</v>
      </c>
    </row>
    <row r="39" spans="1:13" x14ac:dyDescent="0.2">
      <c r="A39" s="63" t="s">
        <v>660</v>
      </c>
      <c r="B39" s="636" t="s">
        <v>17</v>
      </c>
      <c r="C39" s="1028" t="s">
        <v>807</v>
      </c>
      <c r="D39" s="1028" t="s">
        <v>808</v>
      </c>
      <c r="E39" s="1028" t="s">
        <v>808</v>
      </c>
      <c r="F39" s="1029" t="s">
        <v>807</v>
      </c>
    </row>
    <row r="40" spans="1:13" x14ac:dyDescent="0.2">
      <c r="C40" s="1110" t="s">
        <v>574</v>
      </c>
      <c r="D40" s="1110"/>
      <c r="E40" s="1110"/>
      <c r="F40" s="1110"/>
    </row>
    <row r="41" spans="1:13" x14ac:dyDescent="0.2">
      <c r="A41" s="2" t="s">
        <v>33</v>
      </c>
      <c r="B41" s="33"/>
      <c r="C41" s="37" t="s">
        <v>801</v>
      </c>
      <c r="D41" s="37" t="s">
        <v>802</v>
      </c>
      <c r="E41" s="37" t="s">
        <v>803</v>
      </c>
      <c r="F41" s="38" t="s">
        <v>804</v>
      </c>
    </row>
    <row r="42" spans="1:13" x14ac:dyDescent="0.2">
      <c r="A42" s="62" t="s">
        <v>660</v>
      </c>
      <c r="B42" s="635" t="s">
        <v>13</v>
      </c>
      <c r="C42" s="958">
        <v>7</v>
      </c>
      <c r="D42" s="958">
        <v>8</v>
      </c>
      <c r="E42" s="1030">
        <v>11</v>
      </c>
      <c r="F42" s="1031">
        <v>10</v>
      </c>
    </row>
    <row r="43" spans="1:13" x14ac:dyDescent="0.2">
      <c r="A43" s="63" t="s">
        <v>660</v>
      </c>
      <c r="B43" s="636" t="s">
        <v>17</v>
      </c>
      <c r="C43" s="1032">
        <v>11</v>
      </c>
      <c r="D43" s="1032">
        <v>10</v>
      </c>
      <c r="E43" s="680">
        <v>5</v>
      </c>
      <c r="F43" s="947">
        <v>10</v>
      </c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99" t="s">
        <v>35</v>
      </c>
      <c r="D45" s="55" t="s">
        <v>809</v>
      </c>
      <c r="E45" s="899"/>
      <c r="F45" s="68"/>
    </row>
    <row r="46" spans="1:13" x14ac:dyDescent="0.2">
      <c r="A46" s="1033" t="s">
        <v>526</v>
      </c>
      <c r="B46" s="56">
        <v>62</v>
      </c>
      <c r="C46" s="899"/>
      <c r="D46" s="56" t="s">
        <v>810</v>
      </c>
      <c r="E46" s="899"/>
      <c r="F46" s="65"/>
    </row>
    <row r="48" spans="1:13" x14ac:dyDescent="0.2">
      <c r="A48" s="42" t="s">
        <v>37</v>
      </c>
      <c r="B48" s="1034" t="s">
        <v>811</v>
      </c>
      <c r="C48" s="44"/>
      <c r="D48" s="44"/>
      <c r="E48" s="52"/>
      <c r="F48" s="43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1035" t="s">
        <v>778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35</v>
      </c>
      <c r="F53" s="65">
        <v>25</v>
      </c>
    </row>
    <row r="55" spans="1:6" x14ac:dyDescent="0.2">
      <c r="A55" s="42" t="s">
        <v>45</v>
      </c>
      <c r="B55" s="66" t="s">
        <v>51</v>
      </c>
      <c r="C55" s="44"/>
      <c r="D55" s="52" t="s">
        <v>659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F58" s="356" t="s">
        <v>511</v>
      </c>
    </row>
    <row r="59" spans="1:6" x14ac:dyDescent="0.2">
      <c r="A59" s="1036" t="s">
        <v>812</v>
      </c>
      <c r="B59" s="1" t="s">
        <v>471</v>
      </c>
      <c r="F59" s="355" t="s">
        <v>263</v>
      </c>
    </row>
    <row r="60" spans="1:6" x14ac:dyDescent="0.2">
      <c r="A60" s="1037" t="s">
        <v>26</v>
      </c>
      <c r="B60" s="1">
        <v>87.4</v>
      </c>
      <c r="F60" s="356" t="s">
        <v>511</v>
      </c>
    </row>
    <row r="61" spans="1:6" x14ac:dyDescent="0.2">
      <c r="A61" s="1037" t="s">
        <v>27</v>
      </c>
      <c r="B61" s="1">
        <v>96.4</v>
      </c>
      <c r="F61" s="355" t="s">
        <v>264</v>
      </c>
    </row>
    <row r="62" spans="1:6" x14ac:dyDescent="0.2">
      <c r="A62" s="1037" t="s">
        <v>28</v>
      </c>
      <c r="B62" s="1">
        <v>172.5</v>
      </c>
      <c r="F62" s="31" t="s">
        <v>513</v>
      </c>
    </row>
    <row r="63" spans="1:6" x14ac:dyDescent="0.2">
      <c r="A63" s="1037" t="s">
        <v>29</v>
      </c>
      <c r="B63" s="1">
        <v>232.9</v>
      </c>
      <c r="F63" s="1038"/>
    </row>
    <row r="64" spans="1:6" x14ac:dyDescent="0.2">
      <c r="A64" s="681"/>
      <c r="F64" s="1038"/>
    </row>
    <row r="65" spans="1:6" x14ac:dyDescent="0.2">
      <c r="A65" s="16"/>
      <c r="B65" s="18"/>
      <c r="C65" s="18"/>
      <c r="D65" s="18"/>
      <c r="E65" s="18"/>
      <c r="F65" s="1039"/>
    </row>
  </sheetData>
  <mergeCells count="17">
    <mergeCell ref="B7:C7"/>
    <mergeCell ref="E7:F7"/>
    <mergeCell ref="A4:F4"/>
    <mergeCell ref="B5:C5"/>
    <mergeCell ref="E5:F5"/>
    <mergeCell ref="B6:C6"/>
    <mergeCell ref="E6:F6"/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23AC-D543-4ED5-B9FD-ED353EB0A2D6}">
  <sheetPr codeName="Sheet4"/>
  <dimension ref="A1:AD47"/>
  <sheetViews>
    <sheetView showGridLines="0" zoomScale="85" zoomScaleNormal="85" workbookViewId="0">
      <selection activeCell="K51" sqref="K51"/>
    </sheetView>
  </sheetViews>
  <sheetFormatPr defaultColWidth="9.140625" defaultRowHeight="15" x14ac:dyDescent="0.25"/>
  <cols>
    <col min="1" max="1" width="3.7109375" style="380" customWidth="1"/>
    <col min="2" max="2" width="13.42578125" bestFit="1" customWidth="1"/>
    <col min="3" max="3" width="15.28515625" bestFit="1" customWidth="1"/>
    <col min="4" max="4" width="12.28515625" customWidth="1"/>
    <col min="5" max="5" width="10.140625" bestFit="1" customWidth="1"/>
    <col min="6" max="6" width="10.28515625" customWidth="1"/>
    <col min="7" max="8" width="10.28515625" style="380" customWidth="1"/>
    <col min="9" max="9" width="11.28515625" style="380" customWidth="1"/>
    <col min="10" max="15" width="9.140625" style="380"/>
    <col min="16" max="17" width="10.5703125" style="380" customWidth="1"/>
    <col min="18" max="18" width="10.5703125" style="380" bestFit="1" customWidth="1"/>
    <col min="19" max="19" width="10.5703125" style="380" customWidth="1"/>
    <col min="20" max="21" width="9.140625" style="380"/>
    <col min="22" max="22" width="13.85546875" style="380" customWidth="1"/>
    <col min="23" max="23" width="9.140625" style="380"/>
    <col min="25" max="26" width="9.140625" style="380"/>
    <col min="29" max="29" width="12.85546875" bestFit="1" customWidth="1"/>
  </cols>
  <sheetData>
    <row r="1" spans="2:30" s="380" customFormat="1" x14ac:dyDescent="0.25"/>
    <row r="2" spans="2:30" x14ac:dyDescent="0.25">
      <c r="B2" s="383" t="s">
        <v>500</v>
      </c>
      <c r="C2" s="80" t="s">
        <v>497</v>
      </c>
      <c r="D2" s="80" t="s">
        <v>503</v>
      </c>
      <c r="E2" s="624" t="s">
        <v>501</v>
      </c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811" t="s">
        <v>620</v>
      </c>
      <c r="Q2" s="172"/>
      <c r="R2" s="172"/>
      <c r="S2" s="172"/>
      <c r="T2" s="80" t="s">
        <v>13</v>
      </c>
      <c r="U2" s="624" t="s">
        <v>17</v>
      </c>
      <c r="V2" s="591"/>
      <c r="W2" s="172"/>
      <c r="X2" s="72"/>
      <c r="Y2" s="381"/>
      <c r="Z2" s="381"/>
    </row>
    <row r="3" spans="2:30" x14ac:dyDescent="0.25">
      <c r="B3" s="94">
        <v>76</v>
      </c>
      <c r="C3" s="381">
        <v>241</v>
      </c>
      <c r="D3" s="813">
        <v>-3</v>
      </c>
      <c r="E3" s="382">
        <f>C3+D3</f>
        <v>238</v>
      </c>
      <c r="F3" s="381"/>
      <c r="G3" s="381"/>
      <c r="H3" s="381"/>
      <c r="I3" s="381"/>
      <c r="J3" s="381"/>
      <c r="K3" s="381"/>
      <c r="L3" s="381"/>
      <c r="M3" s="381"/>
      <c r="N3" s="381"/>
      <c r="O3" s="381"/>
      <c r="P3" s="94" t="s">
        <v>622</v>
      </c>
      <c r="Q3" s="381"/>
      <c r="R3" s="381"/>
      <c r="S3" s="381"/>
      <c r="T3" s="163">
        <v>0.70399999999999996</v>
      </c>
      <c r="U3" s="808">
        <v>0.44</v>
      </c>
      <c r="W3" s="381"/>
      <c r="X3" s="382"/>
      <c r="Y3" s="381"/>
      <c r="Z3" s="381"/>
    </row>
    <row r="4" spans="2:30" x14ac:dyDescent="0.25">
      <c r="B4" s="81" t="s">
        <v>499</v>
      </c>
      <c r="C4" s="82" t="s">
        <v>496</v>
      </c>
      <c r="D4" s="82" t="s">
        <v>503</v>
      </c>
      <c r="E4" s="647" t="s">
        <v>501</v>
      </c>
      <c r="F4" s="381"/>
      <c r="G4" s="381"/>
      <c r="H4" s="381"/>
      <c r="I4" s="381"/>
      <c r="J4" s="381"/>
      <c r="K4" s="381"/>
      <c r="L4" s="381"/>
      <c r="M4" s="381"/>
      <c r="N4" s="381"/>
      <c r="O4" s="381"/>
      <c r="P4" s="94" t="s">
        <v>621</v>
      </c>
      <c r="Q4" s="381"/>
      <c r="R4" s="381"/>
      <c r="S4" s="381"/>
      <c r="T4" s="809">
        <v>0.28000000000000003</v>
      </c>
      <c r="U4" s="810">
        <v>0.49</v>
      </c>
      <c r="W4" s="381"/>
      <c r="X4" s="382"/>
      <c r="Y4" s="381"/>
      <c r="Z4" s="381"/>
    </row>
    <row r="5" spans="2:30" x14ac:dyDescent="0.25">
      <c r="B5" s="653">
        <v>96</v>
      </c>
      <c r="C5" s="654">
        <v>293.89999999999998</v>
      </c>
      <c r="D5" s="814">
        <v>1</v>
      </c>
      <c r="E5" s="655">
        <f>C5+D5</f>
        <v>294.89999999999998</v>
      </c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94" t="s">
        <v>623</v>
      </c>
      <c r="Q5" s="381"/>
      <c r="R5" s="381"/>
      <c r="S5" s="381"/>
      <c r="T5" s="971">
        <v>5</v>
      </c>
      <c r="U5" s="972">
        <v>3.6</v>
      </c>
      <c r="W5" s="381"/>
      <c r="X5" s="382"/>
      <c r="Y5" s="381"/>
      <c r="Z5" s="381"/>
    </row>
    <row r="6" spans="2:30" s="380" customFormat="1" x14ac:dyDescent="0.25">
      <c r="B6" s="955"/>
      <c r="C6" s="540"/>
      <c r="D6" s="996"/>
      <c r="E6" s="540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95" t="s">
        <v>767</v>
      </c>
      <c r="Q6" s="96"/>
      <c r="R6" s="96"/>
      <c r="S6" s="96"/>
      <c r="T6" s="812">
        <v>0</v>
      </c>
      <c r="U6" s="652">
        <v>0.7</v>
      </c>
      <c r="W6" s="381"/>
      <c r="X6" s="382"/>
      <c r="Y6" s="381"/>
      <c r="Z6" s="381"/>
    </row>
    <row r="7" spans="2:30" x14ac:dyDescent="0.25">
      <c r="B7" s="94"/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2"/>
      <c r="Y7" s="381"/>
      <c r="Z7" s="381"/>
    </row>
    <row r="8" spans="2:30" x14ac:dyDescent="0.25">
      <c r="B8" s="658"/>
      <c r="C8" s="659" t="s">
        <v>336</v>
      </c>
      <c r="D8" s="660" t="s">
        <v>502</v>
      </c>
      <c r="E8" s="661"/>
      <c r="F8" s="660" t="s">
        <v>519</v>
      </c>
      <c r="G8" s="662"/>
      <c r="H8" s="662" t="s">
        <v>23</v>
      </c>
      <c r="I8" s="661"/>
      <c r="J8" s="662" t="s">
        <v>516</v>
      </c>
      <c r="K8" s="661"/>
      <c r="L8" s="660" t="s">
        <v>517</v>
      </c>
      <c r="M8" s="662"/>
      <c r="N8" s="662" t="s">
        <v>613</v>
      </c>
      <c r="O8" s="661"/>
      <c r="P8" s="660" t="s">
        <v>518</v>
      </c>
      <c r="Q8" s="662"/>
      <c r="R8" s="662" t="s">
        <v>582</v>
      </c>
      <c r="S8" s="661"/>
      <c r="T8" s="662" t="s">
        <v>504</v>
      </c>
      <c r="U8" s="661"/>
      <c r="V8" s="801" t="s">
        <v>616</v>
      </c>
      <c r="W8" s="662" t="s">
        <v>505</v>
      </c>
      <c r="X8" s="661" t="s">
        <v>506</v>
      </c>
      <c r="Y8" s="656"/>
      <c r="Z8" s="656"/>
    </row>
    <row r="9" spans="2:30" x14ac:dyDescent="0.25">
      <c r="B9" s="94"/>
      <c r="C9" s="381"/>
      <c r="D9" s="670"/>
      <c r="E9" s="657"/>
      <c r="F9" s="670"/>
      <c r="G9" s="92"/>
      <c r="H9" s="92"/>
      <c r="I9" s="657"/>
      <c r="J9" s="92"/>
      <c r="K9" s="657"/>
      <c r="L9" s="670"/>
      <c r="M9" s="92"/>
      <c r="N9" s="92"/>
      <c r="O9" s="657"/>
      <c r="P9" s="670"/>
      <c r="Q9" s="92"/>
      <c r="R9" s="92"/>
      <c r="S9" s="657"/>
      <c r="T9" s="92"/>
      <c r="U9" s="657"/>
      <c r="V9" s="802"/>
      <c r="W9" s="92"/>
      <c r="X9" s="657"/>
      <c r="Y9" s="399"/>
      <c r="Z9" s="399"/>
    </row>
    <row r="10" spans="2:30" ht="15.75" thickBot="1" x14ac:dyDescent="0.3">
      <c r="B10" s="94"/>
      <c r="C10" s="381" t="s">
        <v>584</v>
      </c>
      <c r="D10" s="674">
        <v>255.6</v>
      </c>
      <c r="E10" s="671">
        <v>255.6</v>
      </c>
      <c r="F10" s="663">
        <f>$B$3-(D10-$E$3)</f>
        <v>58.400000000000006</v>
      </c>
      <c r="G10" s="373">
        <f>$B$3-(E10-$E$3)</f>
        <v>58.400000000000006</v>
      </c>
      <c r="H10" s="373"/>
      <c r="I10" s="664"/>
      <c r="J10" s="373"/>
      <c r="K10" s="664"/>
      <c r="L10" s="685">
        <v>-2.7</v>
      </c>
      <c r="M10" s="373">
        <v>-2.7</v>
      </c>
      <c r="N10" s="373"/>
      <c r="O10" s="664"/>
      <c r="P10" s="685">
        <v>1.5</v>
      </c>
      <c r="Q10" s="373">
        <v>1.5</v>
      </c>
      <c r="R10" s="373"/>
      <c r="S10" s="664"/>
      <c r="T10" s="373"/>
      <c r="U10" s="664"/>
      <c r="V10" s="803" t="s">
        <v>523</v>
      </c>
      <c r="W10" s="373" t="e">
        <f>(T10+U10)/(T10+U10+T11+U11)*100</f>
        <v>#DIV/0!</v>
      </c>
      <c r="X10" s="665" t="e">
        <f>(T10+U11)/(T10+U10+T11+U11)*100</f>
        <v>#DIV/0!</v>
      </c>
      <c r="Y10" s="399" t="s">
        <v>524</v>
      </c>
      <c r="Z10" s="399"/>
      <c r="AB10" s="839" t="s">
        <v>640</v>
      </c>
      <c r="AC10" s="839"/>
      <c r="AD10" s="839"/>
    </row>
    <row r="11" spans="2:30" x14ac:dyDescent="0.25">
      <c r="B11" s="95"/>
      <c r="C11" s="96" t="s">
        <v>611</v>
      </c>
      <c r="D11" s="675">
        <v>300.10000000000002</v>
      </c>
      <c r="E11" s="666">
        <v>300.10000000000002</v>
      </c>
      <c r="F11" s="667">
        <f>$B$5-(D11-$E$5)</f>
        <v>90.799999999999955</v>
      </c>
      <c r="G11" s="669">
        <f>$B$5-(E11-$E$5)</f>
        <v>90.799999999999955</v>
      </c>
      <c r="H11" s="669"/>
      <c r="I11" s="668"/>
      <c r="J11" s="669"/>
      <c r="K11" s="668"/>
      <c r="L11" s="707" t="s">
        <v>580</v>
      </c>
      <c r="M11" s="797" t="s">
        <v>580</v>
      </c>
      <c r="N11" s="669"/>
      <c r="O11" s="668"/>
      <c r="P11" s="686">
        <v>-2</v>
      </c>
      <c r="Q11" s="669">
        <v>-2</v>
      </c>
      <c r="R11" s="669"/>
      <c r="S11" s="668"/>
      <c r="T11" s="669"/>
      <c r="U11" s="668"/>
      <c r="V11" s="804" t="s">
        <v>525</v>
      </c>
      <c r="W11" s="687"/>
      <c r="X11" s="688"/>
      <c r="Y11" s="399" t="s">
        <v>521</v>
      </c>
      <c r="Z11" s="399"/>
      <c r="AB11" s="1136" t="s">
        <v>638</v>
      </c>
      <c r="AC11" s="1137"/>
      <c r="AD11" s="835" t="s">
        <v>637</v>
      </c>
    </row>
    <row r="12" spans="2:30" x14ac:dyDescent="0.25">
      <c r="B12" s="94"/>
      <c r="C12" s="381"/>
      <c r="D12" s="670"/>
      <c r="E12" s="657"/>
      <c r="F12" s="670"/>
      <c r="G12" s="92"/>
      <c r="H12" s="92"/>
      <c r="I12" s="657"/>
      <c r="J12" s="92"/>
      <c r="K12" s="657"/>
      <c r="L12" s="777"/>
      <c r="M12" s="92"/>
      <c r="N12" s="92"/>
      <c r="O12" s="657"/>
      <c r="P12" s="670"/>
      <c r="Q12" s="92"/>
      <c r="R12" s="92"/>
      <c r="S12" s="657"/>
      <c r="T12" s="92"/>
      <c r="U12" s="657"/>
      <c r="V12" s="802"/>
      <c r="W12" s="92"/>
      <c r="X12" s="657"/>
      <c r="Y12" s="399"/>
      <c r="Z12" s="399"/>
      <c r="AB12" s="99">
        <v>253.2</v>
      </c>
      <c r="AC12" s="87">
        <v>256.8</v>
      </c>
      <c r="AD12" s="837">
        <f>AB12+AC12</f>
        <v>510</v>
      </c>
    </row>
    <row r="13" spans="2:30" ht="15.75" thickBot="1" x14ac:dyDescent="0.3">
      <c r="B13" s="94"/>
      <c r="C13" s="381" t="s">
        <v>581</v>
      </c>
      <c r="D13" s="674">
        <v>254.46</v>
      </c>
      <c r="E13" s="671">
        <v>254.65</v>
      </c>
      <c r="F13" s="663">
        <f>$B$3-(D13-$E$3)</f>
        <v>59.539999999999992</v>
      </c>
      <c r="G13" s="373">
        <f>$B$3-(E13-$E$3)</f>
        <v>59.349999999999994</v>
      </c>
      <c r="H13" s="373"/>
      <c r="I13" s="664"/>
      <c r="J13" s="373"/>
      <c r="K13" s="664"/>
      <c r="L13" s="685">
        <v>-2.6</v>
      </c>
      <c r="M13" s="373">
        <v>-2.6</v>
      </c>
      <c r="N13" s="373"/>
      <c r="O13" s="664"/>
      <c r="P13" s="685">
        <v>1.5</v>
      </c>
      <c r="Q13" s="373">
        <v>1.25</v>
      </c>
      <c r="R13" s="373">
        <v>13.57</v>
      </c>
      <c r="S13" s="664">
        <v>13</v>
      </c>
      <c r="T13" s="373">
        <v>253.2</v>
      </c>
      <c r="U13" s="664">
        <v>256.8</v>
      </c>
      <c r="V13" s="803"/>
      <c r="W13" s="778">
        <f>(T13+U13)/(T13+U13+T14+U14)*100</f>
        <v>45.208758088821916</v>
      </c>
      <c r="X13" s="779">
        <f>(T13+U14)/(T13+U13+T14+U14)*100</f>
        <v>49.250952929704809</v>
      </c>
      <c r="Y13" s="399" t="s">
        <v>583</v>
      </c>
      <c r="Z13" s="399"/>
      <c r="AB13" s="100">
        <v>315.7</v>
      </c>
      <c r="AC13" s="142">
        <v>302.39999999999998</v>
      </c>
      <c r="AD13" s="838">
        <f>AB13+AC13</f>
        <v>618.09999999999991</v>
      </c>
    </row>
    <row r="14" spans="2:30" ht="15.75" thickBot="1" x14ac:dyDescent="0.3">
      <c r="B14" s="95"/>
      <c r="C14" s="96" t="s">
        <v>611</v>
      </c>
      <c r="D14" s="675">
        <v>301.64999999999998</v>
      </c>
      <c r="E14" s="666">
        <v>301.77</v>
      </c>
      <c r="F14" s="667">
        <f>$B$5-(D14-$E$5)</f>
        <v>89.25</v>
      </c>
      <c r="G14" s="669">
        <f>$B$5-(E14-$E$5)</f>
        <v>89.13</v>
      </c>
      <c r="H14" s="669"/>
      <c r="I14" s="668"/>
      <c r="J14" s="669"/>
      <c r="K14" s="668"/>
      <c r="L14" s="686">
        <v>-2.1</v>
      </c>
      <c r="M14" s="669">
        <v>-2.1</v>
      </c>
      <c r="N14" s="669"/>
      <c r="O14" s="668"/>
      <c r="P14" s="686">
        <v>-1.6</v>
      </c>
      <c r="Q14" s="669">
        <v>-1.6</v>
      </c>
      <c r="R14" s="669"/>
      <c r="S14" s="668"/>
      <c r="T14" s="669">
        <v>315.7</v>
      </c>
      <c r="U14" s="668">
        <v>302.39999999999998</v>
      </c>
      <c r="V14" s="804"/>
      <c r="W14" s="800"/>
      <c r="X14" s="688"/>
      <c r="Y14" s="399"/>
      <c r="Z14" s="399"/>
      <c r="AC14" s="498" t="s">
        <v>639</v>
      </c>
      <c r="AD14" s="836">
        <f>AD12+AD13</f>
        <v>1128.0999999999999</v>
      </c>
    </row>
    <row r="15" spans="2:30" s="380" customFormat="1" x14ac:dyDescent="0.25">
      <c r="B15" s="94"/>
      <c r="D15" s="670"/>
      <c r="E15" s="657"/>
      <c r="F15" s="670"/>
      <c r="G15" s="92"/>
      <c r="H15" s="92"/>
      <c r="I15" s="657"/>
      <c r="J15" s="92"/>
      <c r="K15" s="657"/>
      <c r="L15" s="670"/>
      <c r="M15" s="92"/>
      <c r="N15" s="92"/>
      <c r="O15" s="657"/>
      <c r="P15" s="670"/>
      <c r="Q15" s="92"/>
      <c r="R15" s="92"/>
      <c r="S15" s="657"/>
      <c r="T15" s="71"/>
      <c r="U15" s="657"/>
      <c r="V15" s="802"/>
      <c r="W15" s="71"/>
      <c r="X15" s="657"/>
    </row>
    <row r="16" spans="2:30" s="380" customFormat="1" x14ac:dyDescent="0.25">
      <c r="B16" s="94"/>
      <c r="C16" s="380" t="s">
        <v>615</v>
      </c>
      <c r="D16" s="674">
        <v>253.4</v>
      </c>
      <c r="E16" s="671">
        <v>253.75</v>
      </c>
      <c r="F16" s="663">
        <f>$B$3-(D16-$E$3)</f>
        <v>60.599999999999994</v>
      </c>
      <c r="G16" s="373">
        <f>$B$3-(E16-$E$3)</f>
        <v>60.25</v>
      </c>
      <c r="H16" s="373">
        <v>6.6</v>
      </c>
      <c r="I16" s="664">
        <v>6.55</v>
      </c>
      <c r="J16" s="373"/>
      <c r="K16" s="664"/>
      <c r="L16" s="685">
        <v>-2.5</v>
      </c>
      <c r="M16" s="373">
        <v>-2.5</v>
      </c>
      <c r="N16" s="373"/>
      <c r="O16" s="664"/>
      <c r="P16" s="685">
        <v>1.5</v>
      </c>
      <c r="Q16" s="373">
        <v>1.6</v>
      </c>
      <c r="R16" s="805" t="s">
        <v>619</v>
      </c>
      <c r="S16" s="806" t="s">
        <v>618</v>
      </c>
      <c r="T16" s="373">
        <v>232.8</v>
      </c>
      <c r="U16" s="664">
        <v>222</v>
      </c>
      <c r="V16" s="803" t="s">
        <v>523</v>
      </c>
      <c r="W16" s="778">
        <f>(T16+U16)/(T16+U16+T17+U17)*100</f>
        <v>43.421806377697152</v>
      </c>
      <c r="X16" s="779">
        <f>(T16+U17)/(T16+U16+T17+U17)*100</f>
        <v>51.212526255489784</v>
      </c>
    </row>
    <row r="17" spans="2:28" s="380" customFormat="1" x14ac:dyDescent="0.25">
      <c r="B17" s="95"/>
      <c r="C17" s="96" t="s">
        <v>611</v>
      </c>
      <c r="D17" s="675">
        <v>299.5</v>
      </c>
      <c r="E17" s="666">
        <v>299.63</v>
      </c>
      <c r="F17" s="667">
        <f>$B$5-(D17-$E$5)</f>
        <v>91.399999999999977</v>
      </c>
      <c r="G17" s="669">
        <f>$B$5-(E17-$E$5)</f>
        <v>91.269999999999982</v>
      </c>
      <c r="H17" s="798">
        <v>8.93</v>
      </c>
      <c r="I17" s="799">
        <v>8.76</v>
      </c>
      <c r="J17" s="669"/>
      <c r="K17" s="668"/>
      <c r="L17" s="707">
        <v>-2.1</v>
      </c>
      <c r="M17" s="797">
        <v>-1.9</v>
      </c>
      <c r="N17" s="798"/>
      <c r="O17" s="799"/>
      <c r="P17" s="686">
        <v>-1.5</v>
      </c>
      <c r="Q17" s="669">
        <v>-1.6</v>
      </c>
      <c r="R17" s="669"/>
      <c r="S17" s="668"/>
      <c r="T17" s="669">
        <v>289</v>
      </c>
      <c r="U17" s="668">
        <v>303.60000000000002</v>
      </c>
      <c r="V17" s="804" t="s">
        <v>525</v>
      </c>
      <c r="W17" s="687"/>
      <c r="X17" s="688"/>
    </row>
    <row r="18" spans="2:28" s="380" customFormat="1" ht="15.75" thickBot="1" x14ac:dyDescent="0.3">
      <c r="B18" s="94"/>
      <c r="C18" s="381"/>
      <c r="D18" s="670"/>
      <c r="E18" s="657"/>
      <c r="F18" s="670"/>
      <c r="G18" s="92"/>
      <c r="H18" s="92"/>
      <c r="I18" s="657"/>
      <c r="J18" s="92"/>
      <c r="K18" s="657"/>
      <c r="L18" s="670"/>
      <c r="M18" s="92"/>
      <c r="N18" s="92"/>
      <c r="O18" s="657"/>
      <c r="P18" s="670"/>
      <c r="Q18" s="92"/>
      <c r="R18" s="92"/>
      <c r="S18" s="657"/>
      <c r="T18" s="92"/>
      <c r="U18" s="657"/>
      <c r="V18" s="802"/>
      <c r="W18" s="92"/>
      <c r="X18" s="657"/>
      <c r="Y18" s="1143" t="s">
        <v>645</v>
      </c>
      <c r="Z18" s="1144"/>
      <c r="AA18" s="1144"/>
      <c r="AB18" s="1144"/>
    </row>
    <row r="19" spans="2:28" s="380" customFormat="1" ht="15.75" thickBot="1" x14ac:dyDescent="0.3">
      <c r="B19" s="844" t="s">
        <v>642</v>
      </c>
      <c r="C19" s="381" t="s">
        <v>641</v>
      </c>
      <c r="D19" s="817"/>
      <c r="E19" s="818"/>
      <c r="F19" s="846">
        <v>68.55</v>
      </c>
      <c r="G19" s="847">
        <v>68.55</v>
      </c>
      <c r="H19" s="850">
        <v>6.67</v>
      </c>
      <c r="I19" s="851">
        <v>6.7</v>
      </c>
      <c r="J19" s="850"/>
      <c r="K19" s="851"/>
      <c r="L19" s="852">
        <v>-2.5</v>
      </c>
      <c r="M19" s="850">
        <v>-2.5</v>
      </c>
      <c r="N19" s="850">
        <v>8.74</v>
      </c>
      <c r="O19" s="851">
        <v>8.83</v>
      </c>
      <c r="P19" s="852">
        <v>1.7</v>
      </c>
      <c r="Q19" s="850">
        <v>1.5</v>
      </c>
      <c r="R19" s="853" t="s">
        <v>619</v>
      </c>
      <c r="S19" s="854" t="s">
        <v>618</v>
      </c>
      <c r="T19" s="860">
        <f>2872/9.81</f>
        <v>292.76248725790009</v>
      </c>
      <c r="U19" s="861">
        <f>2768/9.81</f>
        <v>282.16106014271151</v>
      </c>
      <c r="V19" s="803" t="s">
        <v>633</v>
      </c>
      <c r="W19" s="778">
        <f>(T19+U19)/(T19+U19+T20+U20)*100</f>
        <v>45.425257731958766</v>
      </c>
      <c r="X19" s="864">
        <f>(T19+U20)/(T19+U19+T20+U20)*100</f>
        <v>50.048324742268044</v>
      </c>
      <c r="Y19" s="1138" t="s">
        <v>646</v>
      </c>
      <c r="Z19" s="1139"/>
      <c r="AA19" s="1139"/>
      <c r="AB19" s="1140"/>
    </row>
    <row r="20" spans="2:28" s="380" customFormat="1" x14ac:dyDescent="0.25">
      <c r="B20" s="845" t="s">
        <v>643</v>
      </c>
      <c r="C20" s="96" t="s">
        <v>611</v>
      </c>
      <c r="D20" s="675"/>
      <c r="E20" s="666"/>
      <c r="F20" s="848">
        <v>83.02</v>
      </c>
      <c r="G20" s="849">
        <v>83.02</v>
      </c>
      <c r="H20" s="855">
        <v>8.9499999999999993</v>
      </c>
      <c r="I20" s="856">
        <v>8.5399999999999991</v>
      </c>
      <c r="J20" s="855"/>
      <c r="K20" s="856"/>
      <c r="L20" s="857" t="s">
        <v>625</v>
      </c>
      <c r="M20" s="858" t="s">
        <v>624</v>
      </c>
      <c r="N20" s="855">
        <v>5.53</v>
      </c>
      <c r="O20" s="856">
        <v>5.52</v>
      </c>
      <c r="P20" s="859">
        <v>-1.6</v>
      </c>
      <c r="Q20" s="855">
        <v>-1.7</v>
      </c>
      <c r="R20" s="855" t="s">
        <v>627</v>
      </c>
      <c r="S20" s="856" t="s">
        <v>626</v>
      </c>
      <c r="T20" s="862">
        <f>3434/9.81</f>
        <v>350.05096839959225</v>
      </c>
      <c r="U20" s="863">
        <f>3342/9.81</f>
        <v>340.67278287461772</v>
      </c>
      <c r="V20" s="804" t="s">
        <v>634</v>
      </c>
      <c r="W20" s="800"/>
      <c r="X20" s="688"/>
      <c r="Y20" s="1141" t="s">
        <v>644</v>
      </c>
      <c r="Z20" s="1142"/>
      <c r="AA20" s="1142"/>
      <c r="AB20" s="1142"/>
    </row>
    <row r="21" spans="2:28" s="380" customFormat="1" x14ac:dyDescent="0.25">
      <c r="B21" s="94"/>
      <c r="C21" s="381"/>
      <c r="D21" s="670"/>
      <c r="E21" s="657"/>
      <c r="F21" s="670"/>
      <c r="G21" s="92"/>
      <c r="H21" s="92"/>
      <c r="I21" s="657"/>
      <c r="J21" s="92"/>
      <c r="K21" s="657"/>
      <c r="L21" s="777"/>
      <c r="M21" s="92"/>
      <c r="N21" s="92"/>
      <c r="O21" s="657"/>
      <c r="P21" s="670"/>
      <c r="Q21" s="92"/>
      <c r="R21" s="92"/>
      <c r="S21" s="657"/>
      <c r="T21" s="92"/>
      <c r="U21" s="657"/>
      <c r="V21" s="802"/>
      <c r="W21" s="92"/>
      <c r="X21" s="657"/>
    </row>
    <row r="22" spans="2:28" s="380" customFormat="1" x14ac:dyDescent="0.25">
      <c r="B22" s="94"/>
      <c r="C22" s="381" t="s">
        <v>614</v>
      </c>
      <c r="D22" s="674">
        <v>250.16</v>
      </c>
      <c r="E22" s="671">
        <v>250.93</v>
      </c>
      <c r="F22" s="663">
        <f>$B$3-(D22-$E$3)</f>
        <v>63.84</v>
      </c>
      <c r="G22" s="373">
        <f>$B$3-(E22-$E$3)</f>
        <v>63.069999999999993</v>
      </c>
      <c r="H22" s="373">
        <v>6.67</v>
      </c>
      <c r="I22" s="664">
        <v>6.7</v>
      </c>
      <c r="J22" s="373"/>
      <c r="K22" s="664"/>
      <c r="L22" s="685">
        <v>-2.5</v>
      </c>
      <c r="M22" s="373">
        <v>-2.5</v>
      </c>
      <c r="N22" s="373">
        <v>8.74</v>
      </c>
      <c r="O22" s="664">
        <v>8.83</v>
      </c>
      <c r="P22" s="685">
        <v>1.7</v>
      </c>
      <c r="Q22" s="373">
        <v>1.5</v>
      </c>
      <c r="R22" s="805" t="s">
        <v>619</v>
      </c>
      <c r="S22" s="806" t="s">
        <v>618</v>
      </c>
      <c r="T22" s="373">
        <v>229.9</v>
      </c>
      <c r="U22" s="664">
        <v>220.3</v>
      </c>
      <c r="V22" s="803" t="s">
        <v>632</v>
      </c>
      <c r="W22" s="778">
        <f>(T22+U22)/(T22+U22+T23+U23)*100</f>
        <v>42.91706387035272</v>
      </c>
      <c r="X22" s="779">
        <f>(T22+U23)/(T22+U22+T23+U23)*100</f>
        <v>50.591039084842713</v>
      </c>
      <c r="Y22" s="399" t="s">
        <v>617</v>
      </c>
      <c r="Z22" s="399"/>
    </row>
    <row r="23" spans="2:28" s="380" customFormat="1" x14ac:dyDescent="0.25">
      <c r="B23" s="95"/>
      <c r="C23" s="96" t="s">
        <v>612</v>
      </c>
      <c r="D23" s="675">
        <v>300.55</v>
      </c>
      <c r="E23" s="666">
        <v>300.5</v>
      </c>
      <c r="F23" s="667">
        <f>$B$5-(D23-$E$5)</f>
        <v>90.349999999999966</v>
      </c>
      <c r="G23" s="669">
        <f>$B$5-(E23-$E$5)</f>
        <v>90.399999999999977</v>
      </c>
      <c r="H23" s="669">
        <v>8.9499999999999993</v>
      </c>
      <c r="I23" s="668">
        <v>8.5399999999999991</v>
      </c>
      <c r="J23" s="669"/>
      <c r="K23" s="668"/>
      <c r="L23" s="707" t="s">
        <v>625</v>
      </c>
      <c r="M23" s="797" t="s">
        <v>624</v>
      </c>
      <c r="N23" s="669">
        <v>5.53</v>
      </c>
      <c r="O23" s="668">
        <v>5.52</v>
      </c>
      <c r="P23" s="686">
        <v>-1.6</v>
      </c>
      <c r="Q23" s="669">
        <v>-1.7</v>
      </c>
      <c r="R23" s="669" t="s">
        <v>627</v>
      </c>
      <c r="S23" s="668" t="s">
        <v>626</v>
      </c>
      <c r="T23" s="669">
        <v>298</v>
      </c>
      <c r="U23" s="668">
        <v>300.8</v>
      </c>
      <c r="V23" s="804" t="s">
        <v>628</v>
      </c>
      <c r="W23" s="800"/>
      <c r="X23" s="688"/>
      <c r="Y23" s="815" t="s">
        <v>631</v>
      </c>
      <c r="Z23" s="816"/>
      <c r="AA23" s="515"/>
    </row>
    <row r="24" spans="2:28" s="380" customFormat="1" x14ac:dyDescent="0.25">
      <c r="B24" s="94"/>
      <c r="C24" s="381"/>
      <c r="D24" s="670"/>
      <c r="E24" s="657"/>
      <c r="F24" s="670"/>
      <c r="G24" s="92"/>
      <c r="H24" s="92"/>
      <c r="I24" s="657"/>
      <c r="J24" s="92"/>
      <c r="K24" s="657"/>
      <c r="L24" s="777"/>
      <c r="M24" s="92"/>
      <c r="N24" s="92"/>
      <c r="O24" s="657"/>
      <c r="P24" s="670"/>
      <c r="Q24" s="92"/>
      <c r="R24" s="92"/>
      <c r="S24" s="657"/>
      <c r="T24" s="92"/>
      <c r="U24" s="657"/>
      <c r="V24" s="802"/>
      <c r="W24" s="92"/>
      <c r="X24" s="657"/>
      <c r="Y24" s="399"/>
      <c r="Z24" s="399"/>
    </row>
    <row r="25" spans="2:28" s="380" customFormat="1" x14ac:dyDescent="0.25">
      <c r="B25" s="94"/>
      <c r="C25" s="381" t="s">
        <v>584</v>
      </c>
      <c r="D25" s="674"/>
      <c r="E25" s="671"/>
      <c r="F25" s="663"/>
      <c r="G25" s="373"/>
      <c r="H25" s="373"/>
      <c r="I25" s="664"/>
      <c r="J25" s="373"/>
      <c r="K25" s="664"/>
      <c r="L25" s="685"/>
      <c r="M25" s="373"/>
      <c r="N25" s="373"/>
      <c r="O25" s="664"/>
      <c r="P25" s="685"/>
      <c r="Q25" s="373"/>
      <c r="R25" s="373"/>
      <c r="S25" s="664"/>
      <c r="T25" s="373"/>
      <c r="U25" s="664"/>
      <c r="V25" s="803"/>
      <c r="W25" s="778"/>
      <c r="X25" s="779"/>
      <c r="Y25" s="399"/>
      <c r="Z25" s="399"/>
    </row>
    <row r="26" spans="2:28" s="380" customFormat="1" x14ac:dyDescent="0.25">
      <c r="B26" s="95"/>
      <c r="C26" s="96" t="s">
        <v>612</v>
      </c>
      <c r="D26" s="675"/>
      <c r="E26" s="666"/>
      <c r="F26" s="667"/>
      <c r="G26" s="669"/>
      <c r="H26" s="669"/>
      <c r="I26" s="668"/>
      <c r="J26" s="669"/>
      <c r="K26" s="668"/>
      <c r="L26" s="686"/>
      <c r="M26" s="669"/>
      <c r="N26" s="669"/>
      <c r="O26" s="668"/>
      <c r="P26" s="686"/>
      <c r="Q26" s="669"/>
      <c r="R26" s="669"/>
      <c r="S26" s="668"/>
      <c r="T26" s="669"/>
      <c r="U26" s="668"/>
      <c r="V26" s="804"/>
      <c r="W26" s="800"/>
      <c r="X26" s="688"/>
      <c r="Y26" s="399"/>
      <c r="Z26" s="399"/>
    </row>
    <row r="27" spans="2:28" x14ac:dyDescent="0.25">
      <c r="B27" s="94"/>
      <c r="C27" s="381"/>
      <c r="D27" s="670"/>
      <c r="E27" s="657"/>
      <c r="F27" s="670"/>
      <c r="G27" s="92"/>
      <c r="H27" s="92"/>
      <c r="I27" s="657"/>
      <c r="J27" s="92"/>
      <c r="K27" s="657"/>
      <c r="L27" s="777"/>
      <c r="M27" s="92"/>
      <c r="N27" s="92"/>
      <c r="O27" s="657"/>
      <c r="P27" s="670"/>
      <c r="Q27" s="92"/>
      <c r="R27" s="92"/>
      <c r="S27" s="657"/>
      <c r="T27" s="92"/>
      <c r="U27" s="657"/>
      <c r="V27" s="802"/>
      <c r="W27" s="92"/>
      <c r="X27" s="657"/>
      <c r="Y27" s="399"/>
      <c r="Z27" s="399"/>
    </row>
    <row r="28" spans="2:28" x14ac:dyDescent="0.25">
      <c r="B28" s="819" t="s">
        <v>635</v>
      </c>
      <c r="C28" s="381" t="s">
        <v>581</v>
      </c>
      <c r="D28" s="817">
        <v>248.24</v>
      </c>
      <c r="E28" s="818">
        <v>248.63</v>
      </c>
      <c r="F28" s="663">
        <f>$B$3-(D28-$E$3)</f>
        <v>65.759999999999991</v>
      </c>
      <c r="G28" s="373">
        <f>$B$3-(E28-$E$3)</f>
        <v>65.37</v>
      </c>
      <c r="H28" s="373">
        <v>6.67</v>
      </c>
      <c r="I28" s="664">
        <v>6.7</v>
      </c>
      <c r="J28" s="373"/>
      <c r="K28" s="664"/>
      <c r="L28" s="685">
        <v>-2.5</v>
      </c>
      <c r="M28" s="373">
        <v>-2.5</v>
      </c>
      <c r="N28" s="373">
        <v>8.74</v>
      </c>
      <c r="O28" s="664">
        <v>8.83</v>
      </c>
      <c r="P28" s="685">
        <v>1.7</v>
      </c>
      <c r="Q28" s="373">
        <v>1.5</v>
      </c>
      <c r="R28" s="805" t="s">
        <v>619</v>
      </c>
      <c r="S28" s="806" t="s">
        <v>618</v>
      </c>
      <c r="T28" s="840">
        <v>451.8</v>
      </c>
      <c r="U28" s="841"/>
      <c r="V28" s="803" t="s">
        <v>633</v>
      </c>
      <c r="W28" s="778">
        <f>(T28+U28)/(T28+U28+T29+U29)*100</f>
        <v>43.188987668482945</v>
      </c>
      <c r="X28" s="779">
        <f>(T28+U29)/(T28+U28+T29+U29)*100</f>
        <v>43.188987668482945</v>
      </c>
      <c r="Y28" s="399"/>
      <c r="Z28" s="399"/>
    </row>
    <row r="29" spans="2:28" x14ac:dyDescent="0.25">
      <c r="B29" s="820" t="s">
        <v>636</v>
      </c>
      <c r="C29" s="96" t="s">
        <v>612</v>
      </c>
      <c r="D29" s="675">
        <v>300.55</v>
      </c>
      <c r="E29" s="666">
        <v>300.5</v>
      </c>
      <c r="F29" s="667">
        <f>$B$5-(D29-$E$5)</f>
        <v>90.349999999999966</v>
      </c>
      <c r="G29" s="669">
        <f>$B$5-(E29-$E$5)</f>
        <v>90.399999999999977</v>
      </c>
      <c r="H29" s="669">
        <v>8.9499999999999993</v>
      </c>
      <c r="I29" s="668">
        <v>8.5399999999999991</v>
      </c>
      <c r="J29" s="669"/>
      <c r="K29" s="668"/>
      <c r="L29" s="707" t="s">
        <v>625</v>
      </c>
      <c r="M29" s="797" t="s">
        <v>624</v>
      </c>
      <c r="N29" s="669">
        <v>5.53</v>
      </c>
      <c r="O29" s="668">
        <v>5.52</v>
      </c>
      <c r="P29" s="686">
        <v>-1.6</v>
      </c>
      <c r="Q29" s="669">
        <v>-1.7</v>
      </c>
      <c r="R29" s="669" t="s">
        <v>627</v>
      </c>
      <c r="S29" s="668" t="s">
        <v>626</v>
      </c>
      <c r="T29" s="842">
        <v>594.29999999999995</v>
      </c>
      <c r="U29" s="843"/>
      <c r="V29" s="804" t="s">
        <v>634</v>
      </c>
      <c r="W29" s="800"/>
      <c r="X29" s="688"/>
      <c r="Y29" s="399"/>
      <c r="Z29" s="399"/>
    </row>
    <row r="30" spans="2:28" x14ac:dyDescent="0.25">
      <c r="B30" s="94"/>
      <c r="C30" s="381"/>
      <c r="D30" s="670"/>
      <c r="E30" s="657"/>
      <c r="F30" s="670"/>
      <c r="G30" s="92"/>
      <c r="H30" s="92"/>
      <c r="I30" s="657"/>
      <c r="J30" s="92"/>
      <c r="K30" s="657"/>
      <c r="L30" s="777"/>
      <c r="M30" s="92"/>
      <c r="N30" s="92"/>
      <c r="O30" s="657"/>
      <c r="P30" s="670"/>
      <c r="Q30" s="92"/>
      <c r="R30" s="92"/>
      <c r="S30" s="657"/>
      <c r="T30" s="92"/>
      <c r="U30" s="657"/>
      <c r="V30" s="802"/>
      <c r="W30" s="92"/>
      <c r="X30" s="657"/>
      <c r="Y30" s="399"/>
      <c r="Z30" s="399"/>
    </row>
    <row r="31" spans="2:28" x14ac:dyDescent="0.25">
      <c r="B31" s="819"/>
      <c r="C31" s="381" t="s">
        <v>647</v>
      </c>
      <c r="D31" s="865">
        <v>251.29</v>
      </c>
      <c r="E31" s="866">
        <v>251.69</v>
      </c>
      <c r="F31" s="663">
        <f>$B$3-(D31-$E$3)</f>
        <v>62.710000000000008</v>
      </c>
      <c r="G31" s="373">
        <f>$B$3-(E31-$E$3)</f>
        <v>62.31</v>
      </c>
      <c r="H31" s="373">
        <v>6.67</v>
      </c>
      <c r="I31" s="664">
        <v>6.7</v>
      </c>
      <c r="J31" s="373"/>
      <c r="K31" s="664"/>
      <c r="L31" s="685">
        <v>-2.5</v>
      </c>
      <c r="M31" s="373">
        <v>-2.5</v>
      </c>
      <c r="N31" s="373">
        <v>8.74</v>
      </c>
      <c r="O31" s="664">
        <v>8.83</v>
      </c>
      <c r="P31" s="685">
        <v>1.7</v>
      </c>
      <c r="Q31" s="373">
        <v>1.5</v>
      </c>
      <c r="R31" s="805" t="s">
        <v>619</v>
      </c>
      <c r="S31" s="806" t="s">
        <v>618</v>
      </c>
      <c r="T31" s="840">
        <v>251.4</v>
      </c>
      <c r="U31" s="841">
        <v>256.10000000000002</v>
      </c>
      <c r="V31" s="803" t="s">
        <v>633</v>
      </c>
      <c r="W31" s="778">
        <f>(T31+U31)/(T31+U31+T32+U32)*100</f>
        <v>44.919454770755891</v>
      </c>
      <c r="X31" s="779">
        <f>(T31+U32)/(T31+U31+T32+U32)*100</f>
        <v>49.159143211187825</v>
      </c>
      <c r="Y31" s="399"/>
      <c r="Z31" s="399"/>
    </row>
    <row r="32" spans="2:28" x14ac:dyDescent="0.25">
      <c r="B32" s="820"/>
      <c r="C32" s="96" t="s">
        <v>648</v>
      </c>
      <c r="D32" s="675">
        <v>300.55</v>
      </c>
      <c r="E32" s="666">
        <v>300.5</v>
      </c>
      <c r="F32" s="667">
        <f>$B$5-(D32-$E$5)</f>
        <v>90.349999999999966</v>
      </c>
      <c r="G32" s="669">
        <f>$B$5-(E32-$E$5)</f>
        <v>90.399999999999977</v>
      </c>
      <c r="H32" s="669">
        <v>8.9499999999999993</v>
      </c>
      <c r="I32" s="668">
        <v>8.5399999999999991</v>
      </c>
      <c r="J32" s="669"/>
      <c r="K32" s="668"/>
      <c r="L32" s="707" t="s">
        <v>625</v>
      </c>
      <c r="M32" s="797" t="s">
        <v>624</v>
      </c>
      <c r="N32" s="669">
        <v>5.53</v>
      </c>
      <c r="O32" s="668">
        <v>5.52</v>
      </c>
      <c r="P32" s="686">
        <v>-1.6</v>
      </c>
      <c r="Q32" s="669">
        <v>-1.7</v>
      </c>
      <c r="R32" s="669" t="s">
        <v>627</v>
      </c>
      <c r="S32" s="668" t="s">
        <v>626</v>
      </c>
      <c r="T32" s="842">
        <v>318.3</v>
      </c>
      <c r="U32" s="843">
        <v>304</v>
      </c>
      <c r="V32" s="804" t="s">
        <v>634</v>
      </c>
      <c r="W32" s="800"/>
      <c r="X32" s="688"/>
      <c r="Y32" s="399"/>
      <c r="Z32" s="399"/>
    </row>
    <row r="33" spans="2:27" x14ac:dyDescent="0.25">
      <c r="B33" s="94"/>
      <c r="C33" s="381"/>
      <c r="D33" s="670"/>
      <c r="E33" s="657"/>
      <c r="F33" s="670"/>
      <c r="G33" s="92"/>
      <c r="H33" s="92"/>
      <c r="I33" s="657"/>
      <c r="J33" s="92"/>
      <c r="K33" s="657"/>
      <c r="L33" s="777"/>
      <c r="M33" s="92"/>
      <c r="N33" s="92"/>
      <c r="O33" s="657"/>
      <c r="P33" s="670"/>
      <c r="Q33" s="92"/>
      <c r="R33" s="92"/>
      <c r="S33" s="657"/>
      <c r="T33" s="92"/>
      <c r="U33" s="657"/>
      <c r="V33" s="802"/>
      <c r="W33" s="92"/>
      <c r="X33" s="657"/>
      <c r="Y33" s="399"/>
      <c r="Z33" s="399"/>
    </row>
    <row r="34" spans="2:27" x14ac:dyDescent="0.25">
      <c r="B34" s="819"/>
      <c r="C34" s="381" t="s">
        <v>649</v>
      </c>
      <c r="D34" s="865">
        <v>250.1</v>
      </c>
      <c r="E34" s="866">
        <v>250.57</v>
      </c>
      <c r="F34" s="663">
        <f>$B$3-(D34-$E$3)</f>
        <v>63.900000000000006</v>
      </c>
      <c r="G34" s="373">
        <f>$B$3-(E34-$E$3)</f>
        <v>63.430000000000007</v>
      </c>
      <c r="H34" s="373">
        <v>8.11</v>
      </c>
      <c r="I34" s="664">
        <v>8.3699999999999992</v>
      </c>
      <c r="J34" s="373"/>
      <c r="K34" s="664"/>
      <c r="L34" s="685">
        <v>-2.5</v>
      </c>
      <c r="M34" s="373">
        <v>-2.5</v>
      </c>
      <c r="N34" s="373">
        <v>8.74</v>
      </c>
      <c r="O34" s="664">
        <v>8.83</v>
      </c>
      <c r="P34" s="685">
        <v>1.7</v>
      </c>
      <c r="Q34" s="373">
        <v>1.5</v>
      </c>
      <c r="R34" s="805" t="s">
        <v>619</v>
      </c>
      <c r="S34" s="806" t="s">
        <v>618</v>
      </c>
      <c r="T34" s="840">
        <v>251.4</v>
      </c>
      <c r="U34" s="841">
        <v>256.10000000000002</v>
      </c>
      <c r="V34" s="803" t="s">
        <v>633</v>
      </c>
      <c r="W34" s="778">
        <f>(T34+U34)/(T34+U34+T35+U35)*100</f>
        <v>44.919454770755891</v>
      </c>
      <c r="X34" s="779">
        <f>(T34+U35)/(T34+U34+T35+U35)*100</f>
        <v>49.159143211187825</v>
      </c>
      <c r="Y34" s="399"/>
      <c r="Z34" s="399"/>
    </row>
    <row r="35" spans="2:27" x14ac:dyDescent="0.25">
      <c r="B35" s="820"/>
      <c r="C35" s="96" t="s">
        <v>648</v>
      </c>
      <c r="D35" s="675">
        <v>300.55</v>
      </c>
      <c r="E35" s="666">
        <v>300.5</v>
      </c>
      <c r="F35" s="667">
        <f>$B$5-(D35-$E$5)</f>
        <v>90.349999999999966</v>
      </c>
      <c r="G35" s="669">
        <f>$B$5-(E35-$E$5)</f>
        <v>90.399999999999977</v>
      </c>
      <c r="H35" s="669">
        <v>8.9499999999999993</v>
      </c>
      <c r="I35" s="668">
        <v>8.5399999999999991</v>
      </c>
      <c r="J35" s="669"/>
      <c r="K35" s="668"/>
      <c r="L35" s="707" t="s">
        <v>625</v>
      </c>
      <c r="M35" s="797" t="s">
        <v>624</v>
      </c>
      <c r="N35" s="669">
        <v>5.53</v>
      </c>
      <c r="O35" s="668">
        <v>5.52</v>
      </c>
      <c r="P35" s="686">
        <v>-1.6</v>
      </c>
      <c r="Q35" s="669">
        <v>-1.7</v>
      </c>
      <c r="R35" s="669" t="s">
        <v>627</v>
      </c>
      <c r="S35" s="668" t="s">
        <v>626</v>
      </c>
      <c r="T35" s="842">
        <v>318.3</v>
      </c>
      <c r="U35" s="843">
        <v>304</v>
      </c>
      <c r="V35" s="804" t="s">
        <v>634</v>
      </c>
      <c r="W35" s="800"/>
      <c r="X35" s="688"/>
      <c r="Y35" s="399"/>
      <c r="Z35" s="399"/>
    </row>
    <row r="36" spans="2:27" x14ac:dyDescent="0.25">
      <c r="B36" s="94"/>
      <c r="C36" s="381"/>
      <c r="D36" s="670"/>
      <c r="E36" s="657"/>
      <c r="F36" s="670"/>
      <c r="G36" s="92"/>
      <c r="H36" s="92"/>
      <c r="I36" s="657"/>
      <c r="J36" s="92"/>
      <c r="K36" s="657"/>
      <c r="L36" s="777"/>
      <c r="M36" s="92"/>
      <c r="N36" s="92"/>
      <c r="O36" s="657"/>
      <c r="P36" s="670"/>
      <c r="Q36" s="92"/>
      <c r="R36" s="92"/>
      <c r="S36" s="657"/>
      <c r="T36" s="92"/>
      <c r="U36" s="657"/>
      <c r="V36" s="802"/>
      <c r="W36" s="92"/>
      <c r="X36" s="657"/>
      <c r="Y36" s="815" t="s">
        <v>631</v>
      </c>
      <c r="Z36" s="816"/>
      <c r="AA36" s="515"/>
    </row>
    <row r="37" spans="2:27" x14ac:dyDescent="0.25">
      <c r="B37" s="819"/>
      <c r="C37" s="381" t="s">
        <v>650</v>
      </c>
      <c r="D37" s="865">
        <v>250.82</v>
      </c>
      <c r="E37" s="866">
        <v>250.68</v>
      </c>
      <c r="F37" s="663">
        <f>$B$3-(D37-$E$3)</f>
        <v>63.180000000000007</v>
      </c>
      <c r="G37" s="373">
        <f>$B$3-(E37-$E$3)</f>
        <v>63.319999999999993</v>
      </c>
      <c r="H37" s="373" t="s">
        <v>661</v>
      </c>
      <c r="I37" s="664" t="s">
        <v>662</v>
      </c>
      <c r="J37" s="373"/>
      <c r="K37" s="664"/>
      <c r="L37" s="685">
        <v>-2.5</v>
      </c>
      <c r="M37" s="373">
        <v>-2.8</v>
      </c>
      <c r="N37" s="869">
        <v>8.65</v>
      </c>
      <c r="O37" s="870">
        <v>8.6999999999999993</v>
      </c>
      <c r="P37" s="685">
        <v>1.5</v>
      </c>
      <c r="Q37" s="373">
        <v>1.4</v>
      </c>
      <c r="R37" s="876" t="s">
        <v>619</v>
      </c>
      <c r="S37" s="871" t="s">
        <v>618</v>
      </c>
      <c r="T37" s="840">
        <v>250.7</v>
      </c>
      <c r="U37" s="841">
        <v>255.4</v>
      </c>
      <c r="V37" s="803" t="s">
        <v>633</v>
      </c>
      <c r="W37" s="778">
        <f>(T37+U37)/(T37+U37+T38+U38)*100</f>
        <v>45.090876692801139</v>
      </c>
      <c r="X37" s="779">
        <f>(T37+U38)/(T37+U37+T38+U38)*100</f>
        <v>49.144689950106901</v>
      </c>
      <c r="Y37" s="867" t="s">
        <v>651</v>
      </c>
      <c r="Z37" s="399"/>
    </row>
    <row r="38" spans="2:27" x14ac:dyDescent="0.25">
      <c r="B38" s="820"/>
      <c r="C38" s="96" t="s">
        <v>648</v>
      </c>
      <c r="D38" s="675">
        <v>296.23</v>
      </c>
      <c r="E38" s="666">
        <v>295.95</v>
      </c>
      <c r="F38" s="667">
        <f>$B$5-(D38-$E$5)</f>
        <v>94.669999999999959</v>
      </c>
      <c r="G38" s="669">
        <f>$B$5-(E38-$E$5)</f>
        <v>94.949999999999989</v>
      </c>
      <c r="H38" s="669">
        <v>9.6999999999999993</v>
      </c>
      <c r="I38" s="668">
        <v>9.58</v>
      </c>
      <c r="J38" s="669"/>
      <c r="K38" s="668"/>
      <c r="L38" s="707">
        <v>-2.1</v>
      </c>
      <c r="M38" s="797">
        <v>-1.9</v>
      </c>
      <c r="N38" s="875">
        <v>5.5</v>
      </c>
      <c r="O38" s="873">
        <v>5.47</v>
      </c>
      <c r="P38" s="686">
        <v>-1.5</v>
      </c>
      <c r="Q38" s="669">
        <v>-1.5</v>
      </c>
      <c r="R38" s="874" t="s">
        <v>655</v>
      </c>
      <c r="S38" s="872" t="s">
        <v>654</v>
      </c>
      <c r="T38" s="842">
        <v>315.39999999999998</v>
      </c>
      <c r="U38" s="843">
        <v>300.89999999999998</v>
      </c>
      <c r="V38" s="804" t="s">
        <v>634</v>
      </c>
      <c r="W38" s="800"/>
      <c r="X38" s="688"/>
      <c r="Y38" s="868">
        <v>1122.4000000000001</v>
      </c>
    </row>
    <row r="39" spans="2:27" x14ac:dyDescent="0.25">
      <c r="B39" s="94"/>
      <c r="C39" s="381"/>
      <c r="D39" s="670"/>
      <c r="E39" s="657"/>
      <c r="F39" s="670"/>
      <c r="G39" s="92"/>
      <c r="H39" s="92"/>
      <c r="I39" s="657"/>
      <c r="J39" s="92"/>
      <c r="K39" s="657"/>
      <c r="L39" s="777"/>
      <c r="M39" s="92"/>
      <c r="N39" s="92"/>
      <c r="O39" s="657"/>
      <c r="P39" s="670"/>
      <c r="Q39" s="92"/>
      <c r="R39" s="92"/>
      <c r="S39" s="657"/>
      <c r="T39" s="92"/>
      <c r="U39" s="657"/>
      <c r="V39" s="802"/>
      <c r="W39" s="92"/>
      <c r="X39" s="657"/>
      <c r="Y39" s="815" t="s">
        <v>658</v>
      </c>
      <c r="Z39" s="816"/>
      <c r="AA39" s="515"/>
    </row>
    <row r="40" spans="2:27" x14ac:dyDescent="0.25">
      <c r="B40" s="819"/>
      <c r="C40" s="82" t="s">
        <v>652</v>
      </c>
      <c r="D40" s="865">
        <v>249.13</v>
      </c>
      <c r="E40" s="866">
        <v>248.97</v>
      </c>
      <c r="F40" s="889">
        <f>$B$3-(D40-$E$3)</f>
        <v>64.87</v>
      </c>
      <c r="G40" s="884">
        <f>$B$3-(E40-$E$3)</f>
        <v>65.03</v>
      </c>
      <c r="H40" s="884">
        <v>8</v>
      </c>
      <c r="I40" s="890">
        <v>7.85</v>
      </c>
      <c r="J40" s="373"/>
      <c r="K40" s="664"/>
      <c r="L40" s="883">
        <v>-2.2000000000000002</v>
      </c>
      <c r="M40" s="884">
        <v>-2.2000000000000002</v>
      </c>
      <c r="N40" s="877">
        <v>9.9</v>
      </c>
      <c r="O40" s="878">
        <v>9.9</v>
      </c>
      <c r="P40" s="883">
        <v>2.4</v>
      </c>
      <c r="Q40" s="884">
        <v>2.5</v>
      </c>
      <c r="R40" s="881">
        <v>13.81</v>
      </c>
      <c r="S40" s="882">
        <v>13.35</v>
      </c>
      <c r="T40" s="893">
        <v>251</v>
      </c>
      <c r="U40" s="894">
        <v>252.1</v>
      </c>
      <c r="V40" s="803" t="s">
        <v>633</v>
      </c>
      <c r="W40" s="778">
        <f>(T40+U40)/(T40+U40+T41+U41)*100</f>
        <v>44.963803735811958</v>
      </c>
      <c r="X40" s="779">
        <f>(T40+U41)/(T40+U40+T41+U41)*100</f>
        <v>49.584413263026178</v>
      </c>
      <c r="Y40" s="867" t="s">
        <v>651</v>
      </c>
      <c r="Z40" s="399"/>
      <c r="AA40" s="380"/>
    </row>
    <row r="41" spans="2:27" x14ac:dyDescent="0.25">
      <c r="B41" s="820"/>
      <c r="C41" s="96" t="s">
        <v>653</v>
      </c>
      <c r="D41" s="675">
        <v>297.35000000000002</v>
      </c>
      <c r="E41" s="666">
        <v>297.33999999999997</v>
      </c>
      <c r="F41" s="891">
        <f>$B$5-(D41-$E$5)</f>
        <v>93.549999999999955</v>
      </c>
      <c r="G41" s="888">
        <f>$B$5-(E41-$E$5)</f>
        <v>93.56</v>
      </c>
      <c r="H41" s="888">
        <v>9.6999999999999993</v>
      </c>
      <c r="I41" s="892">
        <v>9.58</v>
      </c>
      <c r="J41" s="669"/>
      <c r="K41" s="668"/>
      <c r="L41" s="885">
        <v>-1.8</v>
      </c>
      <c r="M41" s="886">
        <v>-1.5</v>
      </c>
      <c r="N41" s="879">
        <v>6.38</v>
      </c>
      <c r="O41" s="880">
        <v>7.3</v>
      </c>
      <c r="P41" s="887">
        <v>-1.1000000000000001</v>
      </c>
      <c r="Q41" s="888">
        <v>-1</v>
      </c>
      <c r="R41" s="879" t="s">
        <v>657</v>
      </c>
      <c r="S41" s="880" t="s">
        <v>656</v>
      </c>
      <c r="T41" s="895">
        <v>312</v>
      </c>
      <c r="U41" s="896">
        <v>303.8</v>
      </c>
      <c r="V41" s="804" t="s">
        <v>634</v>
      </c>
      <c r="W41" s="800"/>
      <c r="X41" s="688"/>
      <c r="Y41" s="868">
        <v>1118.9000000000001</v>
      </c>
      <c r="AA41" s="380"/>
    </row>
    <row r="42" spans="2:27" s="380" customFormat="1" x14ac:dyDescent="0.25">
      <c r="B42" s="94"/>
      <c r="C42" s="381"/>
      <c r="D42" s="670"/>
      <c r="E42" s="657"/>
      <c r="F42" s="670"/>
      <c r="G42" s="92"/>
      <c r="H42" s="92"/>
      <c r="I42" s="657"/>
      <c r="J42" s="92"/>
      <c r="K42" s="657"/>
      <c r="L42" s="777"/>
      <c r="M42" s="92"/>
      <c r="N42" s="92"/>
      <c r="O42" s="657"/>
      <c r="P42" s="670"/>
      <c r="Q42" s="92"/>
      <c r="R42" s="92"/>
      <c r="S42" s="657"/>
      <c r="T42" s="92"/>
      <c r="U42" s="657"/>
      <c r="V42" s="802"/>
      <c r="W42" s="92"/>
      <c r="X42" s="657"/>
    </row>
    <row r="43" spans="2:27" s="380" customFormat="1" x14ac:dyDescent="0.25">
      <c r="B43" s="819"/>
      <c r="C43" s="82" t="s">
        <v>652</v>
      </c>
      <c r="D43" s="865"/>
      <c r="E43" s="866"/>
      <c r="F43" s="889">
        <f>$B$3-(D43-$E$3)</f>
        <v>314</v>
      </c>
      <c r="G43" s="884">
        <f>$B$3-(E43-$E$3)</f>
        <v>314</v>
      </c>
      <c r="H43" s="884"/>
      <c r="I43" s="890"/>
      <c r="J43" s="373"/>
      <c r="K43" s="664"/>
      <c r="L43" s="883"/>
      <c r="M43" s="884"/>
      <c r="N43" s="877"/>
      <c r="O43" s="878"/>
      <c r="P43" s="883"/>
      <c r="Q43" s="884"/>
      <c r="R43" s="881"/>
      <c r="S43" s="882"/>
      <c r="T43" s="893"/>
      <c r="U43" s="894"/>
      <c r="V43" s="803"/>
      <c r="W43" s="778" t="e">
        <f>(T43+U43)/(T43+U43+T44+U44)*100</f>
        <v>#DIV/0!</v>
      </c>
      <c r="X43" s="779" t="e">
        <f>(T43+U44)/(T43+U43+T44+U44)*100</f>
        <v>#DIV/0!</v>
      </c>
    </row>
    <row r="44" spans="2:27" s="380" customFormat="1" x14ac:dyDescent="0.25">
      <c r="B44" s="820"/>
      <c r="C44" s="96" t="s">
        <v>768</v>
      </c>
      <c r="D44" s="675"/>
      <c r="E44" s="666"/>
      <c r="F44" s="891">
        <f>$B$5-(D44-$E$5)</f>
        <v>390.9</v>
      </c>
      <c r="G44" s="888">
        <f>$B$5-(E44-$E$5)</f>
        <v>390.9</v>
      </c>
      <c r="H44" s="888"/>
      <c r="I44" s="892"/>
      <c r="J44" s="669"/>
      <c r="K44" s="668"/>
      <c r="L44" s="885"/>
      <c r="M44" s="886"/>
      <c r="N44" s="879"/>
      <c r="O44" s="880"/>
      <c r="P44" s="887"/>
      <c r="Q44" s="888"/>
      <c r="R44" s="879"/>
      <c r="S44" s="880"/>
      <c r="T44" s="895"/>
      <c r="U44" s="896"/>
      <c r="V44" s="804"/>
      <c r="W44" s="800"/>
      <c r="X44" s="688"/>
    </row>
    <row r="45" spans="2:27" s="380" customFormat="1" x14ac:dyDescent="0.25">
      <c r="B45" s="94"/>
      <c r="C45" s="381"/>
      <c r="D45" s="670"/>
      <c r="E45" s="657"/>
      <c r="F45" s="670"/>
      <c r="G45" s="92"/>
      <c r="H45" s="92"/>
      <c r="I45" s="657"/>
      <c r="J45" s="92"/>
      <c r="K45" s="657"/>
      <c r="L45" s="777"/>
      <c r="M45" s="92"/>
      <c r="N45" s="92"/>
      <c r="O45" s="657"/>
      <c r="P45" s="670"/>
      <c r="Q45" s="92"/>
      <c r="R45" s="92"/>
      <c r="S45" s="657"/>
      <c r="T45" s="92"/>
      <c r="U45" s="657"/>
      <c r="V45" s="802"/>
      <c r="W45" s="92"/>
      <c r="X45" s="657"/>
    </row>
    <row r="46" spans="2:27" s="380" customFormat="1" x14ac:dyDescent="0.25">
      <c r="B46" s="819"/>
      <c r="C46" s="82" t="s">
        <v>652</v>
      </c>
      <c r="D46" s="865"/>
      <c r="E46" s="866"/>
      <c r="F46" s="889">
        <f>$B$3-(D46-$E$3)</f>
        <v>314</v>
      </c>
      <c r="G46" s="884">
        <f>$B$3-(E46-$E$3)</f>
        <v>314</v>
      </c>
      <c r="H46" s="884"/>
      <c r="I46" s="890"/>
      <c r="J46" s="373"/>
      <c r="K46" s="664"/>
      <c r="L46" s="883"/>
      <c r="M46" s="884"/>
      <c r="N46" s="877"/>
      <c r="O46" s="878"/>
      <c r="P46" s="883"/>
      <c r="Q46" s="884"/>
      <c r="R46" s="881"/>
      <c r="S46" s="882"/>
      <c r="T46" s="893"/>
      <c r="U46" s="894"/>
      <c r="V46" s="803"/>
      <c r="W46" s="778" t="e">
        <f>(T46+U46)/(T46+U46+T47+U47)*100</f>
        <v>#DIV/0!</v>
      </c>
      <c r="X46" s="779" t="e">
        <f>(T46+U47)/(T46+U46+T47+U47)*100</f>
        <v>#DIV/0!</v>
      </c>
    </row>
    <row r="47" spans="2:27" s="380" customFormat="1" x14ac:dyDescent="0.25">
      <c r="B47" s="820"/>
      <c r="C47" s="96" t="s">
        <v>653</v>
      </c>
      <c r="D47" s="675"/>
      <c r="E47" s="666"/>
      <c r="F47" s="891">
        <f>$B$5-(D47-$E$5)</f>
        <v>390.9</v>
      </c>
      <c r="G47" s="888">
        <f>$B$5-(E47-$E$5)</f>
        <v>390.9</v>
      </c>
      <c r="H47" s="888"/>
      <c r="I47" s="892"/>
      <c r="J47" s="669"/>
      <c r="K47" s="668"/>
      <c r="L47" s="885"/>
      <c r="M47" s="886"/>
      <c r="N47" s="879"/>
      <c r="O47" s="880"/>
      <c r="P47" s="887"/>
      <c r="Q47" s="888"/>
      <c r="R47" s="879"/>
      <c r="S47" s="880"/>
      <c r="T47" s="895"/>
      <c r="U47" s="896"/>
      <c r="V47" s="804"/>
      <c r="W47" s="800"/>
      <c r="X47" s="688"/>
    </row>
  </sheetData>
  <mergeCells count="4">
    <mergeCell ref="AB11:AC11"/>
    <mergeCell ref="Y19:AB19"/>
    <mergeCell ref="Y20:AB20"/>
    <mergeCell ref="Y18:AB18"/>
  </mergeCells>
  <pageMargins left="0.7" right="0.7" top="0.75" bottom="0.75" header="0.3" footer="0.3"/>
  <pageSetup paperSize="9" orientation="portrait" r:id="rId1"/>
  <ignoredErrors>
    <ignoredError sqref="R16:S16 R22:S22 R28:S28 R19:S19 R31:S31 R34:S34 R37:S37" numberStoredAsText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34B5-725A-45DE-A617-FC7D9AFAD7BA}">
  <sheetPr codeName="Sheet5">
    <pageSetUpPr fitToPage="1"/>
  </sheetPr>
  <dimension ref="A1:I47"/>
  <sheetViews>
    <sheetView showGridLines="0" zoomScale="70" zoomScaleNormal="70" workbookViewId="0">
      <selection sqref="A1:D1"/>
    </sheetView>
  </sheetViews>
  <sheetFormatPr defaultRowHeight="15" x14ac:dyDescent="0.25"/>
  <cols>
    <col min="1" max="1" width="51.28515625" style="903" customWidth="1"/>
    <col min="2" max="2" width="24.28515625" style="903" customWidth="1"/>
    <col min="3" max="3" width="26.28515625" style="903" customWidth="1"/>
    <col min="4" max="4" width="27.7109375" style="903" customWidth="1"/>
    <col min="5" max="5" width="3.7109375" style="903" customWidth="1"/>
    <col min="6" max="6" width="19.5703125" style="380" customWidth="1"/>
    <col min="7" max="7" width="11.42578125" style="380" customWidth="1"/>
    <col min="8" max="8" width="14.7109375" style="380" customWidth="1"/>
    <col min="9" max="9" width="11.42578125" style="380" customWidth="1"/>
    <col min="10" max="16384" width="9.140625" style="380"/>
  </cols>
  <sheetData>
    <row r="1" spans="1:9" s="923" customFormat="1" ht="23.25" x14ac:dyDescent="0.35">
      <c r="A1" s="1169" t="s">
        <v>708</v>
      </c>
      <c r="B1" s="1170"/>
      <c r="C1" s="1170"/>
      <c r="D1" s="1171"/>
      <c r="F1" s="924"/>
      <c r="G1" s="924"/>
      <c r="H1" s="924"/>
      <c r="I1" s="924"/>
    </row>
    <row r="2" spans="1:9" s="903" customFormat="1" x14ac:dyDescent="0.25">
      <c r="A2" s="1172" t="s">
        <v>668</v>
      </c>
      <c r="B2" s="1174" t="s">
        <v>699</v>
      </c>
      <c r="C2" s="1176" t="s">
        <v>669</v>
      </c>
      <c r="D2" s="1178">
        <v>44336</v>
      </c>
      <c r="F2" s="380"/>
      <c r="G2" s="380"/>
      <c r="H2" s="380"/>
      <c r="I2" s="380"/>
    </row>
    <row r="3" spans="1:9" s="903" customFormat="1" x14ac:dyDescent="0.25">
      <c r="A3" s="1173"/>
      <c r="B3" s="1175"/>
      <c r="C3" s="1177"/>
      <c r="D3" s="1179"/>
      <c r="F3" s="380"/>
      <c r="G3" s="380"/>
      <c r="H3" s="380"/>
      <c r="I3" s="380"/>
    </row>
    <row r="4" spans="1:9" s="903" customFormat="1" ht="21" x14ac:dyDescent="0.35">
      <c r="A4" s="1166" t="s">
        <v>670</v>
      </c>
      <c r="B4" s="1167"/>
      <c r="C4" s="1167"/>
      <c r="D4" s="1168"/>
      <c r="F4" s="380"/>
      <c r="G4" s="380"/>
      <c r="H4" s="380"/>
      <c r="I4" s="380"/>
    </row>
    <row r="5" spans="1:9" s="903" customFormat="1" ht="18.75" x14ac:dyDescent="0.25">
      <c r="A5" s="940" t="s">
        <v>671</v>
      </c>
      <c r="B5" s="941"/>
      <c r="C5" s="941" t="s">
        <v>672</v>
      </c>
      <c r="D5" s="942" t="s">
        <v>673</v>
      </c>
      <c r="F5" s="925" t="s">
        <v>709</v>
      </c>
      <c r="G5" s="926"/>
      <c r="H5" s="927"/>
      <c r="I5" s="927"/>
    </row>
    <row r="6" spans="1:9" s="903" customFormat="1" ht="20.100000000000001" customHeight="1" x14ac:dyDescent="0.25">
      <c r="A6" s="904" t="s">
        <v>674</v>
      </c>
      <c r="B6" s="905">
        <v>5</v>
      </c>
      <c r="C6" s="906" t="s">
        <v>675</v>
      </c>
      <c r="D6" s="907" t="s">
        <v>676</v>
      </c>
      <c r="F6" s="938" t="s">
        <v>711</v>
      </c>
      <c r="G6" s="939" t="s">
        <v>249</v>
      </c>
      <c r="H6" s="939" t="s">
        <v>712</v>
      </c>
      <c r="I6" s="939" t="s">
        <v>720</v>
      </c>
    </row>
    <row r="7" spans="1:9" s="903" customFormat="1" ht="20.100000000000001" customHeight="1" x14ac:dyDescent="0.25">
      <c r="A7" s="904" t="s">
        <v>677</v>
      </c>
      <c r="B7" s="905" t="s">
        <v>678</v>
      </c>
      <c r="C7" s="906" t="s">
        <v>679</v>
      </c>
      <c r="D7" s="907" t="s">
        <v>680</v>
      </c>
      <c r="F7" s="928" t="s">
        <v>710</v>
      </c>
      <c r="G7" s="928">
        <v>1</v>
      </c>
      <c r="H7" s="928">
        <v>15</v>
      </c>
      <c r="I7" s="928" t="s">
        <v>721</v>
      </c>
    </row>
    <row r="8" spans="1:9" s="903" customFormat="1" ht="20.100000000000001" customHeight="1" x14ac:dyDescent="0.25">
      <c r="A8" s="904" t="s">
        <v>681</v>
      </c>
      <c r="B8" s="905">
        <v>7</v>
      </c>
      <c r="C8" s="906" t="s">
        <v>675</v>
      </c>
      <c r="D8" s="907"/>
      <c r="F8" s="928" t="s">
        <v>713</v>
      </c>
      <c r="G8" s="928">
        <v>2</v>
      </c>
      <c r="H8" s="928">
        <v>10</v>
      </c>
      <c r="I8" s="929" t="s">
        <v>722</v>
      </c>
    </row>
    <row r="9" spans="1:9" s="903" customFormat="1" ht="20.100000000000001" customHeight="1" x14ac:dyDescent="0.25">
      <c r="A9" s="904" t="s">
        <v>682</v>
      </c>
      <c r="B9" s="905">
        <v>20</v>
      </c>
      <c r="C9" s="906" t="s">
        <v>67</v>
      </c>
      <c r="D9" s="907"/>
      <c r="F9" s="928" t="s">
        <v>714</v>
      </c>
      <c r="G9" s="928">
        <v>3</v>
      </c>
      <c r="H9" s="928">
        <v>5</v>
      </c>
      <c r="I9" s="930" t="s">
        <v>724</v>
      </c>
    </row>
    <row r="10" spans="1:9" s="903" customFormat="1" ht="20.100000000000001" customHeight="1" x14ac:dyDescent="0.25">
      <c r="A10" s="908" t="s">
        <v>683</v>
      </c>
      <c r="B10" s="909">
        <v>15</v>
      </c>
      <c r="C10" s="910" t="s">
        <v>67</v>
      </c>
      <c r="D10" s="911"/>
      <c r="F10" s="928" t="s">
        <v>715</v>
      </c>
      <c r="G10" s="928">
        <v>4</v>
      </c>
      <c r="H10" s="928">
        <v>4.71</v>
      </c>
      <c r="I10" s="931" t="s">
        <v>723</v>
      </c>
    </row>
    <row r="11" spans="1:9" s="903" customFormat="1" ht="20.100000000000001" customHeight="1" x14ac:dyDescent="0.25">
      <c r="A11" s="908" t="s">
        <v>684</v>
      </c>
      <c r="B11" s="909">
        <v>25</v>
      </c>
      <c r="C11" s="910" t="s">
        <v>685</v>
      </c>
      <c r="D11" s="911" t="s">
        <v>686</v>
      </c>
      <c r="F11" s="928" t="s">
        <v>716</v>
      </c>
      <c r="G11" s="928">
        <v>5</v>
      </c>
      <c r="H11" s="928">
        <v>2.54</v>
      </c>
      <c r="I11" s="932" t="s">
        <v>725</v>
      </c>
    </row>
    <row r="12" spans="1:9" s="903" customFormat="1" ht="20.100000000000001" customHeight="1" x14ac:dyDescent="0.25">
      <c r="A12" s="904" t="s">
        <v>687</v>
      </c>
      <c r="B12" s="922">
        <v>16.8</v>
      </c>
      <c r="C12" s="906" t="s">
        <v>67</v>
      </c>
      <c r="D12" s="907" t="s">
        <v>704</v>
      </c>
      <c r="F12" s="928" t="s">
        <v>717</v>
      </c>
      <c r="G12" s="928">
        <v>6</v>
      </c>
      <c r="H12" s="928">
        <v>1.87</v>
      </c>
      <c r="I12" s="933" t="s">
        <v>726</v>
      </c>
    </row>
    <row r="13" spans="1:9" s="903" customFormat="1" ht="20.100000000000001" customHeight="1" x14ac:dyDescent="0.25">
      <c r="A13" s="904" t="s">
        <v>688</v>
      </c>
      <c r="B13" s="922">
        <v>19.100000000000001</v>
      </c>
      <c r="C13" s="906" t="s">
        <v>67</v>
      </c>
      <c r="D13" s="907" t="s">
        <v>705</v>
      </c>
      <c r="F13" s="928" t="s">
        <v>718</v>
      </c>
      <c r="G13" s="928">
        <v>7</v>
      </c>
      <c r="H13" s="928">
        <v>1.66</v>
      </c>
      <c r="I13" s="934" t="s">
        <v>727</v>
      </c>
    </row>
    <row r="14" spans="1:9" s="903" customFormat="1" ht="20.100000000000001" customHeight="1" x14ac:dyDescent="0.25">
      <c r="A14" s="912" t="s">
        <v>689</v>
      </c>
      <c r="B14" s="913" t="s">
        <v>528</v>
      </c>
      <c r="C14" s="914" t="s">
        <v>67</v>
      </c>
      <c r="D14" s="915"/>
      <c r="F14" s="928" t="s">
        <v>719</v>
      </c>
      <c r="G14" s="928">
        <v>8</v>
      </c>
      <c r="H14" s="935" t="s">
        <v>730</v>
      </c>
      <c r="I14" s="936" t="s">
        <v>728</v>
      </c>
    </row>
    <row r="15" spans="1:9" s="903" customFormat="1" ht="20.100000000000001" customHeight="1" x14ac:dyDescent="0.25">
      <c r="A15" s="912" t="s">
        <v>690</v>
      </c>
      <c r="B15" s="913">
        <v>20</v>
      </c>
      <c r="C15" s="914" t="s">
        <v>685</v>
      </c>
      <c r="D15" s="915" t="s">
        <v>686</v>
      </c>
      <c r="F15" s="937" t="s">
        <v>731</v>
      </c>
      <c r="G15" s="380"/>
      <c r="H15" s="380"/>
      <c r="I15" s="380"/>
    </row>
    <row r="16" spans="1:9" s="903" customFormat="1" ht="20.100000000000001" customHeight="1" x14ac:dyDescent="0.25">
      <c r="A16" s="912" t="s">
        <v>691</v>
      </c>
      <c r="B16" s="913">
        <v>8</v>
      </c>
      <c r="C16" s="914" t="s">
        <v>679</v>
      </c>
      <c r="D16" s="915" t="s">
        <v>750</v>
      </c>
      <c r="I16" s="381"/>
    </row>
    <row r="17" spans="1:9" s="903" customFormat="1" ht="20.100000000000001" customHeight="1" x14ac:dyDescent="0.25">
      <c r="A17" s="912" t="s">
        <v>692</v>
      </c>
      <c r="B17" s="913">
        <v>10</v>
      </c>
      <c r="C17" s="914" t="s">
        <v>67</v>
      </c>
      <c r="D17" s="943"/>
      <c r="F17" s="925" t="s">
        <v>729</v>
      </c>
      <c r="G17" s="926"/>
      <c r="H17" s="927"/>
      <c r="I17" s="380"/>
    </row>
    <row r="18" spans="1:9" s="903" customFormat="1" ht="21" x14ac:dyDescent="0.25">
      <c r="A18" s="1145" t="s">
        <v>693</v>
      </c>
      <c r="B18" s="1146"/>
      <c r="C18" s="1146"/>
      <c r="D18" s="1147"/>
      <c r="F18" s="938" t="s">
        <v>711</v>
      </c>
      <c r="G18" s="939" t="s">
        <v>249</v>
      </c>
      <c r="H18" s="939" t="s">
        <v>749</v>
      </c>
      <c r="I18" s="380"/>
    </row>
    <row r="19" spans="1:9" s="903" customFormat="1" ht="20.100000000000001" customHeight="1" x14ac:dyDescent="0.25">
      <c r="A19" s="904" t="s">
        <v>694</v>
      </c>
      <c r="B19" s="906">
        <v>10</v>
      </c>
      <c r="C19" s="906" t="s">
        <v>67</v>
      </c>
      <c r="D19" s="944"/>
      <c r="F19" s="928" t="s">
        <v>732</v>
      </c>
      <c r="G19" s="928">
        <v>1</v>
      </c>
      <c r="H19" s="928">
        <v>5</v>
      </c>
      <c r="I19" s="380"/>
    </row>
    <row r="20" spans="1:9" s="903" customFormat="1" ht="21" x14ac:dyDescent="0.25">
      <c r="A20" s="1148" t="s">
        <v>695</v>
      </c>
      <c r="B20" s="1149"/>
      <c r="C20" s="1149"/>
      <c r="D20" s="1150"/>
      <c r="F20" s="928" t="s">
        <v>733</v>
      </c>
      <c r="G20" s="928">
        <v>2</v>
      </c>
      <c r="H20" s="928">
        <v>10</v>
      </c>
      <c r="I20" s="380"/>
    </row>
    <row r="21" spans="1:9" s="903" customFormat="1" ht="20.100000000000001" customHeight="1" x14ac:dyDescent="0.25">
      <c r="A21" s="916" t="s">
        <v>696</v>
      </c>
      <c r="B21" s="917"/>
      <c r="C21" s="917"/>
      <c r="D21" s="945"/>
      <c r="F21" s="928" t="s">
        <v>734</v>
      </c>
      <c r="G21" s="928">
        <v>3</v>
      </c>
      <c r="H21" s="928">
        <v>15</v>
      </c>
      <c r="I21" s="380"/>
    </row>
    <row r="22" spans="1:9" s="903" customFormat="1" ht="20.100000000000001" customHeight="1" x14ac:dyDescent="0.25">
      <c r="A22" s="916" t="s">
        <v>697</v>
      </c>
      <c r="B22" s="917"/>
      <c r="C22" s="917"/>
      <c r="D22" s="945"/>
      <c r="F22" s="928" t="s">
        <v>735</v>
      </c>
      <c r="G22" s="928">
        <v>4</v>
      </c>
      <c r="H22" s="928">
        <v>20</v>
      </c>
      <c r="I22" s="380"/>
    </row>
    <row r="23" spans="1:9" s="903" customFormat="1" ht="21" x14ac:dyDescent="0.25">
      <c r="A23" s="1151" t="s">
        <v>698</v>
      </c>
      <c r="B23" s="1152"/>
      <c r="C23" s="1152"/>
      <c r="D23" s="1153"/>
      <c r="F23" s="928" t="s">
        <v>736</v>
      </c>
      <c r="G23" s="928">
        <v>5</v>
      </c>
      <c r="H23" s="928">
        <v>30</v>
      </c>
      <c r="I23" s="380"/>
    </row>
    <row r="24" spans="1:9" s="903" customFormat="1" ht="20.100000000000001" customHeight="1" x14ac:dyDescent="0.25">
      <c r="A24" s="916" t="s">
        <v>700</v>
      </c>
      <c r="B24" s="918">
        <v>1</v>
      </c>
      <c r="C24" s="917" t="s">
        <v>706</v>
      </c>
      <c r="D24" s="945"/>
      <c r="F24" s="928" t="s">
        <v>737</v>
      </c>
      <c r="G24" s="928">
        <v>6</v>
      </c>
      <c r="H24" s="928">
        <v>40</v>
      </c>
      <c r="I24" s="380"/>
    </row>
    <row r="25" spans="1:9" s="903" customFormat="1" ht="20.100000000000001" customHeight="1" x14ac:dyDescent="0.25">
      <c r="A25" s="916" t="s">
        <v>701</v>
      </c>
      <c r="B25" s="918">
        <v>3</v>
      </c>
      <c r="C25" s="917" t="s">
        <v>707</v>
      </c>
      <c r="D25" s="945"/>
      <c r="F25" s="928" t="s">
        <v>738</v>
      </c>
      <c r="G25" s="928">
        <v>7</v>
      </c>
      <c r="H25" s="928">
        <v>50</v>
      </c>
      <c r="I25" s="380"/>
    </row>
    <row r="26" spans="1:9" s="903" customFormat="1" ht="20.100000000000001" customHeight="1" x14ac:dyDescent="0.25">
      <c r="A26" s="916" t="s">
        <v>511</v>
      </c>
      <c r="B26" s="918">
        <v>3</v>
      </c>
      <c r="C26" s="917" t="s">
        <v>707</v>
      </c>
      <c r="D26" s="945"/>
      <c r="I26" s="380"/>
    </row>
    <row r="27" spans="1:9" s="903" customFormat="1" ht="20.100000000000001" customHeight="1" x14ac:dyDescent="0.25">
      <c r="A27" s="916" t="s">
        <v>702</v>
      </c>
      <c r="B27" s="918">
        <v>2</v>
      </c>
      <c r="C27" s="917" t="s">
        <v>707</v>
      </c>
      <c r="D27" s="945"/>
      <c r="F27" s="925" t="s">
        <v>739</v>
      </c>
      <c r="G27" s="927"/>
      <c r="H27" s="927"/>
    </row>
    <row r="28" spans="1:9" s="903" customFormat="1" ht="20.100000000000001" customHeight="1" x14ac:dyDescent="0.25">
      <c r="A28" s="919" t="s">
        <v>700</v>
      </c>
      <c r="B28" s="920" t="s">
        <v>703</v>
      </c>
      <c r="C28" s="921" t="s">
        <v>67</v>
      </c>
      <c r="D28" s="946"/>
      <c r="F28" s="938" t="s">
        <v>324</v>
      </c>
      <c r="G28" s="939" t="s">
        <v>740</v>
      </c>
      <c r="H28" s="939" t="s">
        <v>741</v>
      </c>
    </row>
    <row r="29" spans="1:9" s="903" customFormat="1" ht="20.100000000000001" customHeight="1" x14ac:dyDescent="0.25">
      <c r="A29" s="919" t="s">
        <v>511</v>
      </c>
      <c r="B29" s="920" t="s">
        <v>475</v>
      </c>
      <c r="C29" s="921" t="s">
        <v>67</v>
      </c>
      <c r="D29" s="946"/>
      <c r="F29" s="928" t="s">
        <v>746</v>
      </c>
      <c r="G29" s="928"/>
      <c r="H29" s="928"/>
    </row>
    <row r="30" spans="1:9" s="903" customFormat="1" ht="20.100000000000001" customHeight="1" x14ac:dyDescent="0.25">
      <c r="A30" s="919" t="s">
        <v>701</v>
      </c>
      <c r="B30" s="920"/>
      <c r="C30" s="921" t="s">
        <v>67</v>
      </c>
      <c r="D30" s="946"/>
      <c r="F30" s="928" t="s">
        <v>745</v>
      </c>
      <c r="G30" s="928"/>
      <c r="H30" s="928"/>
    </row>
    <row r="31" spans="1:9" s="903" customFormat="1" ht="20.100000000000001" customHeight="1" x14ac:dyDescent="0.25">
      <c r="A31" s="919" t="s">
        <v>702</v>
      </c>
      <c r="B31" s="920"/>
      <c r="C31" s="921" t="s">
        <v>67</v>
      </c>
      <c r="D31" s="946"/>
      <c r="F31" s="928" t="s">
        <v>744</v>
      </c>
      <c r="G31" s="928"/>
      <c r="H31" s="928"/>
    </row>
    <row r="32" spans="1:9" s="903" customFormat="1" ht="20.100000000000001" customHeight="1" thickBot="1" x14ac:dyDescent="0.3">
      <c r="A32" s="1154" t="s">
        <v>673</v>
      </c>
      <c r="B32" s="1155"/>
      <c r="C32" s="1155"/>
      <c r="D32" s="1156"/>
      <c r="F32" s="928" t="s">
        <v>747</v>
      </c>
      <c r="G32" s="928"/>
      <c r="H32" s="928"/>
    </row>
    <row r="33" spans="1:9" s="903" customFormat="1" ht="20.100000000000001" customHeight="1" x14ac:dyDescent="0.25">
      <c r="A33" s="1157"/>
      <c r="B33" s="1158"/>
      <c r="C33" s="1158"/>
      <c r="D33" s="1159"/>
      <c r="F33" s="928" t="s">
        <v>743</v>
      </c>
      <c r="G33" s="928"/>
      <c r="H33" s="928"/>
    </row>
    <row r="34" spans="1:9" s="903" customFormat="1" ht="20.100000000000001" customHeight="1" x14ac:dyDescent="0.25">
      <c r="A34" s="1160"/>
      <c r="B34" s="1161"/>
      <c r="C34" s="1161"/>
      <c r="D34" s="1162"/>
      <c r="F34" s="928" t="s">
        <v>748</v>
      </c>
      <c r="G34" s="928"/>
      <c r="H34" s="928"/>
    </row>
    <row r="35" spans="1:9" s="903" customFormat="1" ht="20.100000000000001" customHeight="1" x14ac:dyDescent="0.25">
      <c r="A35" s="1160"/>
      <c r="B35" s="1161"/>
      <c r="C35" s="1161"/>
      <c r="D35" s="1162"/>
      <c r="F35" s="928" t="s">
        <v>742</v>
      </c>
      <c r="G35" s="928"/>
      <c r="H35" s="928"/>
    </row>
    <row r="36" spans="1:9" s="903" customFormat="1" ht="20.100000000000001" customHeight="1" x14ac:dyDescent="0.25">
      <c r="A36" s="1160"/>
      <c r="B36" s="1161"/>
      <c r="C36" s="1161"/>
      <c r="D36" s="1162"/>
    </row>
    <row r="37" spans="1:9" s="903" customFormat="1" ht="20.100000000000001" customHeight="1" x14ac:dyDescent="0.25">
      <c r="A37" s="1160"/>
      <c r="B37" s="1161"/>
      <c r="C37" s="1161"/>
      <c r="D37" s="1162"/>
    </row>
    <row r="38" spans="1:9" s="903" customFormat="1" ht="20.100000000000001" customHeight="1" x14ac:dyDescent="0.25">
      <c r="A38" s="1160"/>
      <c r="B38" s="1161"/>
      <c r="C38" s="1161"/>
      <c r="D38" s="1162"/>
    </row>
    <row r="39" spans="1:9" s="903" customFormat="1" ht="20.100000000000001" customHeight="1" x14ac:dyDescent="0.25">
      <c r="A39" s="1160"/>
      <c r="B39" s="1161"/>
      <c r="C39" s="1161"/>
      <c r="D39" s="1162"/>
    </row>
    <row r="40" spans="1:9" s="903" customFormat="1" ht="20.100000000000001" customHeight="1" x14ac:dyDescent="0.25">
      <c r="A40" s="1160"/>
      <c r="B40" s="1161"/>
      <c r="C40" s="1161"/>
      <c r="D40" s="1162"/>
    </row>
    <row r="41" spans="1:9" s="903" customFormat="1" ht="20.100000000000001" customHeight="1" x14ac:dyDescent="0.25">
      <c r="A41" s="1160"/>
      <c r="B41" s="1161"/>
      <c r="C41" s="1161"/>
      <c r="D41" s="1162"/>
    </row>
    <row r="42" spans="1:9" s="903" customFormat="1" ht="20.100000000000001" customHeight="1" x14ac:dyDescent="0.25">
      <c r="A42" s="1160"/>
      <c r="B42" s="1161"/>
      <c r="C42" s="1161"/>
      <c r="D42" s="1162"/>
      <c r="F42" s="380"/>
      <c r="G42" s="380"/>
      <c r="H42" s="380"/>
      <c r="I42" s="380"/>
    </row>
    <row r="43" spans="1:9" s="903" customFormat="1" ht="20.100000000000001" customHeight="1" x14ac:dyDescent="0.25">
      <c r="A43" s="1160"/>
      <c r="B43" s="1161"/>
      <c r="C43" s="1161"/>
      <c r="D43" s="1162"/>
      <c r="F43" s="380"/>
      <c r="G43" s="380"/>
      <c r="H43" s="380"/>
      <c r="I43" s="380"/>
    </row>
    <row r="44" spans="1:9" s="903" customFormat="1" ht="20.100000000000001" customHeight="1" x14ac:dyDescent="0.25">
      <c r="A44" s="1160"/>
      <c r="B44" s="1161"/>
      <c r="C44" s="1161"/>
      <c r="D44" s="1162"/>
      <c r="F44" s="380"/>
      <c r="G44" s="380"/>
      <c r="H44" s="380"/>
      <c r="I44" s="380"/>
    </row>
    <row r="45" spans="1:9" s="903" customFormat="1" ht="20.100000000000001" customHeight="1" x14ac:dyDescent="0.25">
      <c r="A45" s="1160"/>
      <c r="B45" s="1161"/>
      <c r="C45" s="1161"/>
      <c r="D45" s="1162"/>
      <c r="F45" s="380"/>
      <c r="G45" s="380"/>
      <c r="H45" s="380"/>
      <c r="I45" s="380"/>
    </row>
    <row r="46" spans="1:9" s="903" customFormat="1" ht="20.100000000000001" customHeight="1" x14ac:dyDescent="0.25">
      <c r="A46" s="1160"/>
      <c r="B46" s="1161"/>
      <c r="C46" s="1161"/>
      <c r="D46" s="1162"/>
      <c r="F46" s="380"/>
      <c r="G46" s="380"/>
      <c r="H46" s="380"/>
      <c r="I46" s="380"/>
    </row>
    <row r="47" spans="1:9" s="903" customFormat="1" ht="20.100000000000001" customHeight="1" thickBot="1" x14ac:dyDescent="0.3">
      <c r="A47" s="1163"/>
      <c r="B47" s="1164"/>
      <c r="C47" s="1164"/>
      <c r="D47" s="1165"/>
      <c r="F47" s="380"/>
      <c r="G47" s="380"/>
      <c r="H47" s="380"/>
      <c r="I47" s="380"/>
    </row>
  </sheetData>
  <sortState xmlns:xlrd2="http://schemas.microsoft.com/office/spreadsheetml/2017/richdata2" ref="F29:F35">
    <sortCondition ref="F29:F35"/>
  </sortState>
  <mergeCells count="11">
    <mergeCell ref="A4:D4"/>
    <mergeCell ref="A1:D1"/>
    <mergeCell ref="A2:A3"/>
    <mergeCell ref="B2:B3"/>
    <mergeCell ref="C2:C3"/>
    <mergeCell ref="D2:D3"/>
    <mergeCell ref="A18:D18"/>
    <mergeCell ref="A20:D20"/>
    <mergeCell ref="A23:D23"/>
    <mergeCell ref="A32:D32"/>
    <mergeCell ref="A33:D47"/>
  </mergeCells>
  <pageMargins left="0.25" right="0.25" top="0.75" bottom="0.75" header="0.3" footer="0.3"/>
  <pageSetup paperSize="9" scale="5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7671-D6A9-4EAB-BF3C-54956F11127C}">
  <sheetPr codeName="Sheet6">
    <pageSetUpPr fitToPage="1"/>
  </sheetPr>
  <dimension ref="B1:AN112"/>
  <sheetViews>
    <sheetView showGridLines="0" zoomScale="70" zoomScaleNormal="70" workbookViewId="0"/>
  </sheetViews>
  <sheetFormatPr defaultColWidth="9.140625" defaultRowHeight="12.75" x14ac:dyDescent="0.2"/>
  <cols>
    <col min="1" max="1" width="3.7109375" style="1" customWidth="1"/>
    <col min="2" max="9" width="0" style="1" hidden="1" customWidth="1"/>
    <col min="10" max="10" width="9.140625" style="1"/>
    <col min="11" max="18" width="0" style="1" hidden="1" customWidth="1"/>
    <col min="19" max="16384" width="9.140625" style="1"/>
  </cols>
  <sheetData>
    <row r="1" spans="2:40" ht="15" x14ac:dyDescent="0.25">
      <c r="AG1" s="380"/>
      <c r="AH1" s="380"/>
      <c r="AI1" s="380"/>
      <c r="AJ1" s="380"/>
      <c r="AL1" s="380"/>
      <c r="AM1" s="380"/>
      <c r="AN1" s="380"/>
    </row>
    <row r="2" spans="2:40" ht="21" x14ac:dyDescent="0.25">
      <c r="B2" s="357" t="s">
        <v>248</v>
      </c>
      <c r="C2" s="357"/>
      <c r="D2" s="357"/>
      <c r="E2" s="357"/>
      <c r="F2" s="357"/>
      <c r="G2" s="357"/>
      <c r="K2" s="357" t="s">
        <v>454</v>
      </c>
      <c r="L2" s="357"/>
      <c r="M2" s="357"/>
      <c r="N2" s="357"/>
      <c r="O2" s="357"/>
      <c r="P2" s="357"/>
      <c r="T2" s="602" t="s">
        <v>458</v>
      </c>
      <c r="U2" s="602"/>
      <c r="V2" s="602"/>
      <c r="W2" s="602"/>
      <c r="X2" s="602"/>
      <c r="Y2" s="602"/>
      <c r="Z2" s="602"/>
      <c r="AA2" s="602"/>
      <c r="AB2" s="602"/>
      <c r="AC2" s="602"/>
      <c r="AD2" s="602"/>
      <c r="AE2" s="380"/>
      <c r="AF2" s="950" t="s">
        <v>760</v>
      </c>
      <c r="AG2" s="948"/>
      <c r="AH2" s="948"/>
      <c r="AI2" s="948"/>
      <c r="AJ2" s="380"/>
      <c r="AK2" s="951" t="s">
        <v>761</v>
      </c>
      <c r="AL2" s="949"/>
      <c r="AM2" s="949"/>
      <c r="AN2" s="949"/>
    </row>
    <row r="3" spans="2:40" ht="15.75" thickBot="1" x14ac:dyDescent="0.3">
      <c r="AF3" s="380"/>
      <c r="AG3" s="380"/>
      <c r="AH3" s="380"/>
      <c r="AI3" s="380"/>
      <c r="AJ3" s="380"/>
      <c r="AK3" s="380"/>
      <c r="AL3" s="380"/>
      <c r="AM3" s="380"/>
      <c r="AN3" s="380"/>
    </row>
    <row r="4" spans="2:40" ht="15" customHeight="1" x14ac:dyDescent="0.25">
      <c r="B4" s="181" t="s">
        <v>57</v>
      </c>
      <c r="C4" s="182" t="s">
        <v>58</v>
      </c>
      <c r="D4" s="183"/>
      <c r="E4" s="184"/>
      <c r="F4" s="184"/>
      <c r="G4" s="184"/>
      <c r="H4" s="184"/>
      <c r="I4" s="185"/>
      <c r="K4" s="570" t="s">
        <v>57</v>
      </c>
      <c r="L4" s="571" t="s">
        <v>58</v>
      </c>
      <c r="M4" s="572"/>
      <c r="N4" s="573"/>
      <c r="O4" s="573"/>
      <c r="P4" s="573"/>
      <c r="Q4" s="573"/>
      <c r="R4" s="574"/>
      <c r="T4" s="570" t="s">
        <v>57</v>
      </c>
      <c r="U4" s="571" t="s">
        <v>58</v>
      </c>
      <c r="V4" s="572"/>
      <c r="W4" s="573"/>
      <c r="X4" s="573"/>
      <c r="Y4" s="573"/>
      <c r="Z4" s="573"/>
      <c r="AA4" s="574"/>
      <c r="AF4" s="570" t="s">
        <v>57</v>
      </c>
      <c r="AG4" s="571" t="s">
        <v>58</v>
      </c>
      <c r="AH4" s="572"/>
      <c r="AI4" s="573"/>
      <c r="AJ4" s="573"/>
      <c r="AK4" s="573"/>
      <c r="AL4" s="573"/>
      <c r="AM4" s="573"/>
      <c r="AN4" s="574"/>
    </row>
    <row r="5" spans="2:40" ht="15" customHeight="1" x14ac:dyDescent="0.25">
      <c r="B5" s="186" t="s">
        <v>59</v>
      </c>
      <c r="C5" s="187">
        <v>30</v>
      </c>
      <c r="D5" s="187">
        <v>40</v>
      </c>
      <c r="E5" s="187">
        <v>50</v>
      </c>
      <c r="F5" s="187">
        <v>60</v>
      </c>
      <c r="G5" s="187">
        <v>70</v>
      </c>
      <c r="H5" s="187">
        <v>80</v>
      </c>
      <c r="I5" s="188">
        <v>90</v>
      </c>
      <c r="K5" s="575" t="s">
        <v>59</v>
      </c>
      <c r="L5" s="576">
        <v>30</v>
      </c>
      <c r="M5" s="576">
        <v>40</v>
      </c>
      <c r="N5" s="576">
        <v>50</v>
      </c>
      <c r="O5" s="576">
        <v>60</v>
      </c>
      <c r="P5" s="576">
        <v>70</v>
      </c>
      <c r="Q5" s="576">
        <v>80</v>
      </c>
      <c r="R5" s="577">
        <v>90</v>
      </c>
      <c r="T5" s="575" t="s">
        <v>59</v>
      </c>
      <c r="U5" s="576">
        <v>30</v>
      </c>
      <c r="V5" s="576">
        <v>40</v>
      </c>
      <c r="W5" s="576">
        <v>50</v>
      </c>
      <c r="X5" s="576">
        <v>60</v>
      </c>
      <c r="Y5" s="576">
        <v>70</v>
      </c>
      <c r="Z5" s="576">
        <v>80</v>
      </c>
      <c r="AA5" s="577">
        <v>90</v>
      </c>
      <c r="AF5" s="575" t="s">
        <v>59</v>
      </c>
      <c r="AG5" s="576">
        <v>30</v>
      </c>
      <c r="AH5" s="576">
        <v>40</v>
      </c>
      <c r="AI5" s="576">
        <v>50</v>
      </c>
      <c r="AJ5" s="576">
        <v>60</v>
      </c>
      <c r="AK5" s="576">
        <v>70</v>
      </c>
      <c r="AL5" s="576">
        <v>80</v>
      </c>
      <c r="AM5" s="576">
        <v>90</v>
      </c>
      <c r="AN5" s="577">
        <v>100</v>
      </c>
    </row>
    <row r="6" spans="2:40" ht="15" x14ac:dyDescent="0.25">
      <c r="B6" s="189">
        <v>30</v>
      </c>
      <c r="C6" s="190">
        <v>1.0309999999999999</v>
      </c>
      <c r="D6" s="190">
        <v>1.0580000000000001</v>
      </c>
      <c r="E6" s="190">
        <v>1.0880000000000001</v>
      </c>
      <c r="F6" s="190">
        <v>1.109</v>
      </c>
      <c r="G6" s="190">
        <v>1.1299999999999999</v>
      </c>
      <c r="H6" s="190">
        <v>1.147</v>
      </c>
      <c r="I6" s="191">
        <v>1.1679999999999999</v>
      </c>
      <c r="K6" s="578">
        <v>30</v>
      </c>
      <c r="L6" s="579">
        <v>1.1100000000000001</v>
      </c>
      <c r="M6" s="579">
        <v>1.1399999999999999</v>
      </c>
      <c r="N6" s="579">
        <v>1.171</v>
      </c>
      <c r="O6" s="579">
        <v>1.198</v>
      </c>
      <c r="P6" s="579">
        <v>1.224</v>
      </c>
      <c r="Q6" s="579">
        <v>1.236</v>
      </c>
      <c r="R6" s="580">
        <v>1.2589999999999999</v>
      </c>
      <c r="T6" s="578">
        <v>30</v>
      </c>
      <c r="U6" s="579">
        <f>L6-0.09-0.029</f>
        <v>0.99099999999999999</v>
      </c>
      <c r="V6" s="579">
        <f t="shared" ref="V6:AA6" si="0">M6-0.09-0.029</f>
        <v>1.0209999999999999</v>
      </c>
      <c r="W6" s="579">
        <f t="shared" si="0"/>
        <v>1.052</v>
      </c>
      <c r="X6" s="579">
        <f t="shared" si="0"/>
        <v>1.079</v>
      </c>
      <c r="Y6" s="579">
        <f t="shared" si="0"/>
        <v>1.105</v>
      </c>
      <c r="Z6" s="579">
        <f t="shared" si="0"/>
        <v>1.117</v>
      </c>
      <c r="AA6" s="580">
        <f t="shared" si="0"/>
        <v>1.1399999999999999</v>
      </c>
      <c r="AF6" s="578">
        <v>30</v>
      </c>
      <c r="AG6" s="579">
        <v>1.0301230593314969</v>
      </c>
      <c r="AH6" s="579">
        <v>1.048665219221969</v>
      </c>
      <c r="AI6" s="579">
        <v>1.0722025125104937</v>
      </c>
      <c r="AJ6" s="579">
        <v>1.0975615636993075</v>
      </c>
      <c r="AK6" s="579">
        <v>1.1218513651959361</v>
      </c>
      <c r="AL6" s="579">
        <v>1.1432153953782405</v>
      </c>
      <c r="AM6" s="579">
        <v>1.1606065502975755</v>
      </c>
      <c r="AN6" s="580">
        <v>1.1729866078405919</v>
      </c>
    </row>
    <row r="7" spans="2:40" ht="15" x14ac:dyDescent="0.25">
      <c r="B7" s="189">
        <v>40</v>
      </c>
      <c r="C7" s="190">
        <v>1.0289999999999999</v>
      </c>
      <c r="D7" s="190">
        <v>1.0640000000000001</v>
      </c>
      <c r="E7" s="190">
        <v>1.089</v>
      </c>
      <c r="F7" s="190">
        <v>1.1100000000000001</v>
      </c>
      <c r="G7" s="190">
        <v>1.133</v>
      </c>
      <c r="H7" s="190">
        <v>1.155</v>
      </c>
      <c r="I7" s="191">
        <v>1.177</v>
      </c>
      <c r="K7" s="578">
        <v>40</v>
      </c>
      <c r="L7" s="579">
        <v>1.1180000000000001</v>
      </c>
      <c r="M7" s="579">
        <v>1.161</v>
      </c>
      <c r="N7" s="579">
        <v>1.1859999999999999</v>
      </c>
      <c r="O7" s="579">
        <v>1.2030000000000001</v>
      </c>
      <c r="P7" s="579">
        <v>1.22</v>
      </c>
      <c r="Q7" s="579">
        <v>1.2350000000000001</v>
      </c>
      <c r="R7" s="580">
        <v>1.264</v>
      </c>
      <c r="T7" s="578">
        <v>40</v>
      </c>
      <c r="U7" s="579">
        <f>L7-0.09-0.029</f>
        <v>0.999</v>
      </c>
      <c r="V7" s="579">
        <f t="shared" ref="V7:AA10" si="1">M7-0.09-0.029</f>
        <v>1.042</v>
      </c>
      <c r="W7" s="579">
        <f t="shared" si="1"/>
        <v>1.0669999999999999</v>
      </c>
      <c r="X7" s="579">
        <f t="shared" si="1"/>
        <v>1.0840000000000001</v>
      </c>
      <c r="Y7" s="579">
        <f t="shared" si="1"/>
        <v>1.101</v>
      </c>
      <c r="Z7" s="579">
        <f t="shared" si="1"/>
        <v>1.1160000000000001</v>
      </c>
      <c r="AA7" s="580">
        <f t="shared" si="1"/>
        <v>1.145</v>
      </c>
      <c r="AF7" s="578">
        <v>40</v>
      </c>
      <c r="AG7" s="579">
        <v>1.032144373940624</v>
      </c>
      <c r="AH7" s="579">
        <v>1.052899179773928</v>
      </c>
      <c r="AI7" s="579">
        <v>1.076094370852037</v>
      </c>
      <c r="AJ7" s="579">
        <v>1.098797540667644</v>
      </c>
      <c r="AK7" s="579">
        <v>1.1194877727390988</v>
      </c>
      <c r="AL7" s="579">
        <v>1.138105277525526</v>
      </c>
      <c r="AM7" s="579">
        <v>1.1548957651409908</v>
      </c>
      <c r="AN7" s="580">
        <v>1.1690172498887108</v>
      </c>
    </row>
    <row r="8" spans="2:40" ht="15" x14ac:dyDescent="0.25">
      <c r="B8" s="189">
        <v>50</v>
      </c>
      <c r="C8" s="190">
        <v>1.0409999999999999</v>
      </c>
      <c r="D8" s="190">
        <v>1.0760000000000001</v>
      </c>
      <c r="E8" s="190">
        <v>1.101</v>
      </c>
      <c r="F8" s="190">
        <v>1.1140000000000001</v>
      </c>
      <c r="G8" s="190">
        <v>1.133</v>
      </c>
      <c r="H8" s="190">
        <v>1.155</v>
      </c>
      <c r="I8" s="191">
        <v>1.177</v>
      </c>
      <c r="K8" s="578">
        <v>50</v>
      </c>
      <c r="L8" s="579">
        <v>1.1180000000000001</v>
      </c>
      <c r="M8" s="579">
        <v>1.165</v>
      </c>
      <c r="N8" s="579">
        <v>1.194</v>
      </c>
      <c r="O8" s="579">
        <v>1.2130000000000001</v>
      </c>
      <c r="P8" s="579">
        <v>1.2370000000000001</v>
      </c>
      <c r="Q8" s="579">
        <v>1.256</v>
      </c>
      <c r="R8" s="580">
        <v>1.274</v>
      </c>
      <c r="T8" s="578">
        <v>50</v>
      </c>
      <c r="U8" s="579">
        <f>L8-0.09-0.029</f>
        <v>0.999</v>
      </c>
      <c r="V8" s="579">
        <f t="shared" si="1"/>
        <v>1.046</v>
      </c>
      <c r="W8" s="579">
        <f t="shared" si="1"/>
        <v>1.075</v>
      </c>
      <c r="X8" s="579">
        <f t="shared" si="1"/>
        <v>1.0940000000000001</v>
      </c>
      <c r="Y8" s="579">
        <f t="shared" si="1"/>
        <v>1.1180000000000001</v>
      </c>
      <c r="Z8" s="579">
        <f t="shared" si="1"/>
        <v>1.137</v>
      </c>
      <c r="AA8" s="580">
        <f t="shared" si="1"/>
        <v>1.155</v>
      </c>
      <c r="AF8" s="578">
        <v>50</v>
      </c>
      <c r="AG8" s="579">
        <v>1.0359479117418096</v>
      </c>
      <c r="AH8" s="579">
        <v>1.0591508706096102</v>
      </c>
      <c r="AI8" s="579">
        <v>1.0827199710338462</v>
      </c>
      <c r="AJ8" s="579">
        <v>1.1038456261143155</v>
      </c>
      <c r="AK8" s="579">
        <v>1.1218964909964826</v>
      </c>
      <c r="AL8" s="579">
        <v>1.1379356300557044</v>
      </c>
      <c r="AM8" s="579">
        <v>1.1529917704788533</v>
      </c>
      <c r="AN8" s="580">
        <v>1.1664074279313505</v>
      </c>
    </row>
    <row r="9" spans="2:40" ht="15" x14ac:dyDescent="0.25">
      <c r="B9" s="189">
        <v>60</v>
      </c>
      <c r="C9" s="190">
        <v>1.0489999999999999</v>
      </c>
      <c r="D9" s="190">
        <v>1.0900000000000001</v>
      </c>
      <c r="E9" s="190">
        <v>1.1140000000000001</v>
      </c>
      <c r="F9" s="190">
        <v>1.133</v>
      </c>
      <c r="G9" s="190">
        <v>1.1519999999999999</v>
      </c>
      <c r="H9" s="190">
        <v>1.171</v>
      </c>
      <c r="I9" s="191">
        <v>1.1850000000000001</v>
      </c>
      <c r="K9" s="578">
        <v>60</v>
      </c>
      <c r="L9" s="579">
        <v>1.117</v>
      </c>
      <c r="M9" s="579">
        <v>1.1599999999999999</v>
      </c>
      <c r="N9" s="579">
        <v>1.1879999999999999</v>
      </c>
      <c r="O9" s="579">
        <v>1.212</v>
      </c>
      <c r="P9" s="579">
        <v>1.234</v>
      </c>
      <c r="Q9" s="579">
        <v>1.254</v>
      </c>
      <c r="R9" s="580">
        <v>1.2749999999999999</v>
      </c>
      <c r="T9" s="578">
        <v>60</v>
      </c>
      <c r="U9" s="579">
        <f>L9-0.09-0.029</f>
        <v>0.99799999999999989</v>
      </c>
      <c r="V9" s="579">
        <f t="shared" si="1"/>
        <v>1.0409999999999999</v>
      </c>
      <c r="W9" s="579">
        <f t="shared" si="1"/>
        <v>1.069</v>
      </c>
      <c r="X9" s="579">
        <f t="shared" si="1"/>
        <v>1.093</v>
      </c>
      <c r="Y9" s="579">
        <f t="shared" si="1"/>
        <v>1.115</v>
      </c>
      <c r="Z9" s="579">
        <f t="shared" si="1"/>
        <v>1.135</v>
      </c>
      <c r="AA9" s="580">
        <f t="shared" si="1"/>
        <v>1.1559999999999999</v>
      </c>
      <c r="AF9" s="578">
        <v>60</v>
      </c>
      <c r="AG9" s="579">
        <v>1.0376206995929691</v>
      </c>
      <c r="AH9" s="579">
        <v>1.0618649397730591</v>
      </c>
      <c r="AI9" s="579">
        <v>1.0858893890362782</v>
      </c>
      <c r="AJ9" s="579">
        <v>1.1069769079138576</v>
      </c>
      <c r="AK9" s="579">
        <v>1.1246445325695331</v>
      </c>
      <c r="AL9" s="579">
        <v>1.1399723798668342</v>
      </c>
      <c r="AM9" s="579">
        <v>1.1538670045797366</v>
      </c>
      <c r="AN9" s="580">
        <v>1.1655957661480603</v>
      </c>
    </row>
    <row r="10" spans="2:40" ht="15.75" thickBot="1" x14ac:dyDescent="0.3">
      <c r="B10" s="192">
        <v>70</v>
      </c>
      <c r="C10" s="193">
        <v>1.0429999999999999</v>
      </c>
      <c r="D10" s="193">
        <v>1.0860000000000001</v>
      </c>
      <c r="E10" s="193">
        <v>1.1100000000000001</v>
      </c>
      <c r="F10" s="193">
        <v>1.1319999999999999</v>
      </c>
      <c r="G10" s="193">
        <v>1.153</v>
      </c>
      <c r="H10" s="193">
        <v>1.1739999999999999</v>
      </c>
      <c r="I10" s="194">
        <v>1.196</v>
      </c>
      <c r="K10" s="581">
        <v>70</v>
      </c>
      <c r="L10" s="582">
        <v>1.109</v>
      </c>
      <c r="M10" s="582">
        <v>1.155</v>
      </c>
      <c r="N10" s="582">
        <v>1.1859999999999999</v>
      </c>
      <c r="O10" s="582">
        <v>1.212</v>
      </c>
      <c r="P10" s="582">
        <v>1.2330000000000001</v>
      </c>
      <c r="Q10" s="582">
        <v>1.2529999999999999</v>
      </c>
      <c r="R10" s="583">
        <v>1.2749999999999999</v>
      </c>
      <c r="T10" s="581">
        <v>70</v>
      </c>
      <c r="U10" s="582">
        <f>L10-0.09-0.029</f>
        <v>0.98999999999999988</v>
      </c>
      <c r="V10" s="582">
        <f t="shared" si="1"/>
        <v>1.036</v>
      </c>
      <c r="W10" s="582">
        <f t="shared" si="1"/>
        <v>1.0669999999999999</v>
      </c>
      <c r="X10" s="582">
        <f t="shared" si="1"/>
        <v>1.093</v>
      </c>
      <c r="Y10" s="582">
        <f t="shared" si="1"/>
        <v>1.1140000000000001</v>
      </c>
      <c r="Z10" s="582">
        <f t="shared" si="1"/>
        <v>1.1339999999999999</v>
      </c>
      <c r="AA10" s="583">
        <f t="shared" si="1"/>
        <v>1.1559999999999999</v>
      </c>
      <c r="AF10" s="578">
        <v>70</v>
      </c>
      <c r="AG10" s="579">
        <v>1.0364775988713626</v>
      </c>
      <c r="AH10" s="579">
        <v>1.0589379123658222</v>
      </c>
      <c r="AI10" s="579">
        <v>1.081937575653479</v>
      </c>
      <c r="AJ10" s="579">
        <v>1.1030719132319349</v>
      </c>
      <c r="AK10" s="579">
        <v>1.1215969389564664</v>
      </c>
      <c r="AL10" s="579">
        <v>1.1378397060198651</v>
      </c>
      <c r="AM10" s="579">
        <v>1.1518767500941334</v>
      </c>
      <c r="AN10" s="580">
        <v>1.1625658789128033</v>
      </c>
    </row>
    <row r="11" spans="2:40" ht="15.75" thickBot="1" x14ac:dyDescent="0.3">
      <c r="B11" s="195"/>
      <c r="C11" s="195"/>
      <c r="D11" s="195"/>
      <c r="E11" s="195"/>
      <c r="F11" s="195"/>
      <c r="G11" s="195"/>
      <c r="H11" s="195"/>
      <c r="I11" s="195"/>
      <c r="K11" s="584"/>
      <c r="L11" s="584"/>
      <c r="M11" s="584"/>
      <c r="N11" s="584"/>
      <c r="O11" s="584"/>
      <c r="P11" s="584"/>
      <c r="Q11" s="584"/>
      <c r="R11" s="584"/>
      <c r="T11" s="584"/>
      <c r="U11" s="584"/>
      <c r="V11" s="584"/>
      <c r="W11" s="584"/>
      <c r="X11" s="584"/>
      <c r="Y11" s="584"/>
      <c r="Z11" s="584"/>
      <c r="AA11" s="584"/>
      <c r="AF11" s="581">
        <v>80</v>
      </c>
      <c r="AG11" s="582">
        <v>1.0357246917871077</v>
      </c>
      <c r="AH11" s="582">
        <v>1.0539143912732976</v>
      </c>
      <c r="AI11" s="582">
        <v>1.0737782402066403</v>
      </c>
      <c r="AJ11" s="582">
        <v>1.0935207472943587</v>
      </c>
      <c r="AK11" s="582">
        <v>1.1121949482191809</v>
      </c>
      <c r="AL11" s="582">
        <v>1.1292756821444119</v>
      </c>
      <c r="AM11" s="582">
        <v>1.1438681111935303</v>
      </c>
      <c r="AN11" s="583">
        <v>1.1542953268031488</v>
      </c>
    </row>
    <row r="12" spans="2:40" ht="15.75" thickBot="1" x14ac:dyDescent="0.3">
      <c r="B12" s="181" t="s">
        <v>60</v>
      </c>
      <c r="C12" s="182" t="s">
        <v>58</v>
      </c>
      <c r="D12" s="183"/>
      <c r="E12" s="184"/>
      <c r="F12" s="184"/>
      <c r="G12" s="184"/>
      <c r="H12" s="184"/>
      <c r="I12" s="185"/>
      <c r="K12" s="570" t="s">
        <v>60</v>
      </c>
      <c r="L12" s="571" t="s">
        <v>58</v>
      </c>
      <c r="M12" s="572"/>
      <c r="N12" s="573"/>
      <c r="O12" s="573"/>
      <c r="P12" s="573"/>
      <c r="Q12" s="573"/>
      <c r="R12" s="574"/>
      <c r="T12" s="603" t="s">
        <v>60</v>
      </c>
      <c r="U12" s="604" t="s">
        <v>58</v>
      </c>
      <c r="V12" s="605"/>
      <c r="W12" s="606"/>
      <c r="X12" s="606"/>
      <c r="Y12" s="606"/>
      <c r="Z12" s="606"/>
      <c r="AA12" s="607"/>
      <c r="AF12" s="380"/>
      <c r="AG12" s="380"/>
      <c r="AH12" s="380"/>
      <c r="AI12" s="380"/>
      <c r="AJ12" s="380"/>
      <c r="AK12" s="380"/>
      <c r="AL12" s="380"/>
      <c r="AM12" s="380"/>
      <c r="AN12" s="380"/>
    </row>
    <row r="13" spans="2:40" ht="15" x14ac:dyDescent="0.25">
      <c r="B13" s="186" t="s">
        <v>59</v>
      </c>
      <c r="C13" s="187">
        <v>30</v>
      </c>
      <c r="D13" s="187">
        <v>40</v>
      </c>
      <c r="E13" s="187">
        <v>50</v>
      </c>
      <c r="F13" s="187">
        <v>60</v>
      </c>
      <c r="G13" s="187">
        <v>70</v>
      </c>
      <c r="H13" s="187">
        <v>80</v>
      </c>
      <c r="I13" s="188">
        <v>90</v>
      </c>
      <c r="K13" s="575" t="s">
        <v>59</v>
      </c>
      <c r="L13" s="576">
        <v>30</v>
      </c>
      <c r="M13" s="576">
        <v>40</v>
      </c>
      <c r="N13" s="576">
        <v>50</v>
      </c>
      <c r="O13" s="576">
        <v>60</v>
      </c>
      <c r="P13" s="576">
        <v>70</v>
      </c>
      <c r="Q13" s="576">
        <v>80</v>
      </c>
      <c r="R13" s="577">
        <v>90</v>
      </c>
      <c r="T13" s="610" t="s">
        <v>59</v>
      </c>
      <c r="U13" s="608">
        <v>30</v>
      </c>
      <c r="V13" s="608">
        <v>40</v>
      </c>
      <c r="W13" s="608">
        <v>50</v>
      </c>
      <c r="X13" s="608">
        <v>60</v>
      </c>
      <c r="Y13" s="608">
        <v>70</v>
      </c>
      <c r="Z13" s="608">
        <v>80</v>
      </c>
      <c r="AA13" s="609">
        <v>90</v>
      </c>
      <c r="AF13" s="570" t="s">
        <v>448</v>
      </c>
      <c r="AG13" s="571" t="s">
        <v>58</v>
      </c>
      <c r="AH13" s="572"/>
      <c r="AI13" s="573"/>
      <c r="AJ13" s="573"/>
      <c r="AK13" s="573"/>
      <c r="AL13" s="573"/>
      <c r="AM13" s="573"/>
      <c r="AN13" s="574"/>
    </row>
    <row r="14" spans="2:40" ht="15" x14ac:dyDescent="0.25">
      <c r="B14" s="189">
        <v>30</v>
      </c>
      <c r="C14" s="196">
        <v>0.47803617571059431</v>
      </c>
      <c r="D14" s="197">
        <v>0.48688958383449604</v>
      </c>
      <c r="E14" s="197">
        <v>0.50160624139513532</v>
      </c>
      <c r="F14" s="197">
        <v>0.52171945701357469</v>
      </c>
      <c r="G14" s="197">
        <v>0.54222821203953286</v>
      </c>
      <c r="H14" s="197">
        <v>0.55375388716126162</v>
      </c>
      <c r="I14" s="198">
        <v>0.56432621020497165</v>
      </c>
      <c r="K14" s="578">
        <v>30</v>
      </c>
      <c r="L14" s="585">
        <v>0.43320561941251595</v>
      </c>
      <c r="M14" s="586">
        <v>0.44678277697145619</v>
      </c>
      <c r="N14" s="586">
        <v>0.46261682242990659</v>
      </c>
      <c r="O14" s="586">
        <v>0.47783808231569419</v>
      </c>
      <c r="P14" s="586">
        <v>0.4963487497233901</v>
      </c>
      <c r="Q14" s="586">
        <v>0.51033591731266148</v>
      </c>
      <c r="R14" s="587">
        <v>0.52282676672920569</v>
      </c>
      <c r="T14" s="611">
        <v>30</v>
      </c>
      <c r="U14" s="585">
        <f>U30/U22</f>
        <v>0.46201078206766166</v>
      </c>
      <c r="V14" s="586">
        <f t="shared" ref="V14:AA14" si="2">V30/V22</f>
        <v>0.47573298166354577</v>
      </c>
      <c r="W14" s="586">
        <f t="shared" si="2"/>
        <v>0.49168115222249825</v>
      </c>
      <c r="X14" s="586">
        <f t="shared" si="2"/>
        <v>0.50695655720595667</v>
      </c>
      <c r="Y14" s="586">
        <f t="shared" si="2"/>
        <v>0.52546009970388696</v>
      </c>
      <c r="Z14" s="586">
        <f t="shared" si="2"/>
        <v>0.53938905654709068</v>
      </c>
      <c r="AA14" s="587">
        <f t="shared" si="2"/>
        <v>0.55178968628512215</v>
      </c>
      <c r="AF14" s="575" t="s">
        <v>59</v>
      </c>
      <c r="AG14" s="576">
        <v>30</v>
      </c>
      <c r="AH14" s="576">
        <v>40</v>
      </c>
      <c r="AI14" s="576">
        <v>50</v>
      </c>
      <c r="AJ14" s="576">
        <v>60</v>
      </c>
      <c r="AK14" s="576">
        <v>70</v>
      </c>
      <c r="AL14" s="576">
        <v>80</v>
      </c>
      <c r="AM14" s="576">
        <v>90</v>
      </c>
      <c r="AN14" s="577">
        <v>100</v>
      </c>
    </row>
    <row r="15" spans="2:40" ht="15" x14ac:dyDescent="0.25">
      <c r="B15" s="529">
        <v>40</v>
      </c>
      <c r="C15" s="530">
        <v>0.43094590510728314</v>
      </c>
      <c r="D15" s="531">
        <v>0.42222222222222222</v>
      </c>
      <c r="E15" s="532">
        <v>0.44091486658195678</v>
      </c>
      <c r="F15" s="530">
        <v>0.46286003031834261</v>
      </c>
      <c r="G15" s="530">
        <v>0.48670146656723839</v>
      </c>
      <c r="H15" s="530">
        <v>0.50600961538461531</v>
      </c>
      <c r="I15" s="198">
        <v>0.52292296951361417</v>
      </c>
      <c r="K15" s="578">
        <v>40</v>
      </c>
      <c r="L15" s="586">
        <v>0.3859847414523877</v>
      </c>
      <c r="M15" s="588">
        <v>0.38988170148502393</v>
      </c>
      <c r="N15" s="585">
        <v>0.406135865595325</v>
      </c>
      <c r="O15" s="586">
        <v>0.42898761835396942</v>
      </c>
      <c r="P15" s="586">
        <v>0.44796594134342477</v>
      </c>
      <c r="Q15" s="586">
        <v>0.46514806378132117</v>
      </c>
      <c r="R15" s="587">
        <v>0.48348481489691864</v>
      </c>
      <c r="T15" s="611">
        <v>40</v>
      </c>
      <c r="U15" s="586">
        <f t="shared" ref="U15:AA15" si="3">U31/U23</f>
        <v>0.41394315705900359</v>
      </c>
      <c r="V15" s="588">
        <f t="shared" si="3"/>
        <v>0.41793026041722875</v>
      </c>
      <c r="W15" s="585">
        <f t="shared" si="3"/>
        <v>0.43452097188899397</v>
      </c>
      <c r="X15" s="586">
        <f t="shared" si="3"/>
        <v>0.45773881687338741</v>
      </c>
      <c r="Y15" s="586">
        <f t="shared" si="3"/>
        <v>0.4769267184722229</v>
      </c>
      <c r="Z15" s="586">
        <f t="shared" si="3"/>
        <v>0.49422516530645832</v>
      </c>
      <c r="AA15" s="587">
        <f t="shared" si="3"/>
        <v>0.51260958469457307</v>
      </c>
      <c r="AF15" s="578">
        <v>30</v>
      </c>
      <c r="AG15" s="579">
        <v>1.8101191211465175</v>
      </c>
      <c r="AH15" s="579">
        <v>1.9444399955914125</v>
      </c>
      <c r="AI15" s="579">
        <v>2.0847558522588905</v>
      </c>
      <c r="AJ15" s="579">
        <v>2.2219646137145581</v>
      </c>
      <c r="AK15" s="579">
        <v>2.350354884143639</v>
      </c>
      <c r="AL15" s="579">
        <v>2.4656376705182343</v>
      </c>
      <c r="AM15" s="579">
        <v>2.5600189727010458</v>
      </c>
      <c r="AN15" s="580">
        <v>2.6190354151983417</v>
      </c>
    </row>
    <row r="16" spans="2:40" ht="15" x14ac:dyDescent="0.25">
      <c r="B16" s="529">
        <v>50</v>
      </c>
      <c r="C16" s="530">
        <v>0.38189626693095469</v>
      </c>
      <c r="D16" s="530">
        <v>0.38085882683132194</v>
      </c>
      <c r="E16" s="530">
        <v>0.4043010752688172</v>
      </c>
      <c r="F16" s="531">
        <v>0.4264272313052801</v>
      </c>
      <c r="G16" s="532">
        <v>0.44792214623882165</v>
      </c>
      <c r="H16" s="530">
        <v>0.47368421052631576</v>
      </c>
      <c r="I16" s="198">
        <v>0.47988077496274217</v>
      </c>
      <c r="K16" s="578">
        <v>50</v>
      </c>
      <c r="L16" s="586">
        <v>0.3459942547079477</v>
      </c>
      <c r="M16" s="586">
        <v>0.34385871019534381</v>
      </c>
      <c r="N16" s="586">
        <v>0.36903225806451612</v>
      </c>
      <c r="O16" s="588">
        <v>0.39565217391304347</v>
      </c>
      <c r="P16" s="585">
        <v>0.41513190642110503</v>
      </c>
      <c r="Q16" s="586">
        <v>0.43067632850241538</v>
      </c>
      <c r="R16" s="587">
        <v>0.44303201506591333</v>
      </c>
      <c r="T16" s="611">
        <v>50</v>
      </c>
      <c r="U16" s="586">
        <f t="shared" ref="U16:AA16" si="4">U32/U24</f>
        <v>0.3728147860270119</v>
      </c>
      <c r="V16" s="586">
        <f t="shared" si="4"/>
        <v>0.37060750790244806</v>
      </c>
      <c r="W16" s="586">
        <f t="shared" si="4"/>
        <v>0.39655578818929299</v>
      </c>
      <c r="X16" s="588">
        <f t="shared" si="4"/>
        <v>0.42382748823995148</v>
      </c>
      <c r="Y16" s="585">
        <f t="shared" si="4"/>
        <v>0.44367602074743978</v>
      </c>
      <c r="Z16" s="586">
        <f t="shared" si="4"/>
        <v>0.45944963962965724</v>
      </c>
      <c r="AA16" s="587">
        <f t="shared" si="4"/>
        <v>0.47194651607175997</v>
      </c>
      <c r="AF16" s="578">
        <v>40</v>
      </c>
      <c r="AG16" s="579">
        <v>1.5501944838151862</v>
      </c>
      <c r="AH16" s="579">
        <v>1.6787490303087256</v>
      </c>
      <c r="AI16" s="579">
        <v>1.8164214237073641</v>
      </c>
      <c r="AJ16" s="579">
        <v>1.9523195633477728</v>
      </c>
      <c r="AK16" s="579">
        <v>2.0824064855867017</v>
      </c>
      <c r="AL16" s="579">
        <v>2.2062051651705037</v>
      </c>
      <c r="AM16" s="579">
        <v>2.318996783821786</v>
      </c>
      <c r="AN16" s="580">
        <v>2.4063701372309261</v>
      </c>
    </row>
    <row r="17" spans="2:40" ht="15" x14ac:dyDescent="0.25">
      <c r="B17" s="189">
        <v>60</v>
      </c>
      <c r="C17" s="197">
        <v>0.32587513533020573</v>
      </c>
      <c r="D17" s="197">
        <v>0.33006244424620873</v>
      </c>
      <c r="E17" s="197">
        <v>0.35945095796396909</v>
      </c>
      <c r="F17" s="197">
        <v>0.39179314221472739</v>
      </c>
      <c r="G17" s="197">
        <v>0.41687141687141682</v>
      </c>
      <c r="H17" s="196">
        <v>0.43718592964824121</v>
      </c>
      <c r="I17" s="198">
        <v>0.45499097240134129</v>
      </c>
      <c r="K17" s="578">
        <v>60</v>
      </c>
      <c r="L17" s="586">
        <v>0.29026671285071004</v>
      </c>
      <c r="M17" s="586">
        <v>0.29626436781609194</v>
      </c>
      <c r="N17" s="586">
        <v>0.32433177183797191</v>
      </c>
      <c r="O17" s="586">
        <v>0.35392500674399785</v>
      </c>
      <c r="P17" s="586">
        <v>0.37630208333333337</v>
      </c>
      <c r="Q17" s="585">
        <v>0.39414584910421396</v>
      </c>
      <c r="R17" s="587">
        <v>0.41183723797780519</v>
      </c>
      <c r="T17" s="611">
        <v>60</v>
      </c>
      <c r="U17" s="586">
        <f t="shared" ref="U17:AA17" si="5">U33/U25</f>
        <v>0.31484702867813091</v>
      </c>
      <c r="V17" s="586">
        <f t="shared" si="5"/>
        <v>0.3211227772915427</v>
      </c>
      <c r="W17" s="586">
        <f t="shared" si="5"/>
        <v>0.35037269891167155</v>
      </c>
      <c r="X17" s="586">
        <f t="shared" si="5"/>
        <v>0.3810021634650288</v>
      </c>
      <c r="Y17" s="586">
        <f t="shared" si="5"/>
        <v>0.40402063441025571</v>
      </c>
      <c r="Z17" s="585">
        <f t="shared" si="5"/>
        <v>0.42228884881680728</v>
      </c>
      <c r="AA17" s="587">
        <f t="shared" si="5"/>
        <v>0.44032536616877382</v>
      </c>
      <c r="AF17" s="578">
        <v>50</v>
      </c>
      <c r="AG17" s="579">
        <v>1.282181801475911</v>
      </c>
      <c r="AH17" s="579">
        <v>1.4128829244575742</v>
      </c>
      <c r="AI17" s="579">
        <v>1.554411542932099</v>
      </c>
      <c r="AJ17" s="579">
        <v>1.6898910611837619</v>
      </c>
      <c r="AK17" s="579">
        <v>1.8132125609011527</v>
      </c>
      <c r="AL17" s="579">
        <v>1.9262021557402935</v>
      </c>
      <c r="AM17" s="579">
        <v>2.0292718701150356</v>
      </c>
      <c r="AN17" s="580">
        <v>2.1136784868145337</v>
      </c>
    </row>
    <row r="18" spans="2:40" ht="15.75" thickBot="1" x14ac:dyDescent="0.3">
      <c r="B18" s="192">
        <v>70</v>
      </c>
      <c r="C18" s="199">
        <v>0.26397763578274763</v>
      </c>
      <c r="D18" s="199">
        <v>0.27846454131424853</v>
      </c>
      <c r="E18" s="199">
        <v>0.30988943488943488</v>
      </c>
      <c r="F18" s="199">
        <v>0.34417344173441738</v>
      </c>
      <c r="G18" s="199">
        <v>0.37361354349095155</v>
      </c>
      <c r="H18" s="199">
        <v>0.3962370120752598</v>
      </c>
      <c r="I18" s="200">
        <v>0.41811751904243744</v>
      </c>
      <c r="K18" s="581">
        <v>70</v>
      </c>
      <c r="L18" s="589">
        <v>0.23338426279602748</v>
      </c>
      <c r="M18" s="589">
        <v>0.25038735667802914</v>
      </c>
      <c r="N18" s="589">
        <v>0.27956674473067916</v>
      </c>
      <c r="O18" s="589">
        <v>0.30732122587968219</v>
      </c>
      <c r="P18" s="589">
        <v>0.33314886552296624</v>
      </c>
      <c r="Q18" s="589">
        <v>0.35599999999999998</v>
      </c>
      <c r="R18" s="590">
        <v>0.37759336099585061</v>
      </c>
      <c r="T18" s="612">
        <v>70</v>
      </c>
      <c r="U18" s="589">
        <f t="shared" ref="U18:AA18" si="6">U34/U26</f>
        <v>0.25487750445305618</v>
      </c>
      <c r="V18" s="589">
        <f t="shared" si="6"/>
        <v>0.27288907801993306</v>
      </c>
      <c r="W18" s="589">
        <f t="shared" si="6"/>
        <v>0.30362860022446259</v>
      </c>
      <c r="X18" s="589">
        <f t="shared" si="6"/>
        <v>0.33266881483279015</v>
      </c>
      <c r="Y18" s="589">
        <f t="shared" si="6"/>
        <v>0.35952103675833852</v>
      </c>
      <c r="Z18" s="589">
        <f t="shared" si="6"/>
        <v>0.38314176245210724</v>
      </c>
      <c r="AA18" s="590">
        <f t="shared" si="6"/>
        <v>0.40534521158129172</v>
      </c>
      <c r="AF18" s="578">
        <v>60</v>
      </c>
      <c r="AG18" s="579">
        <v>1.0164606024220129</v>
      </c>
      <c r="AH18" s="579">
        <v>1.1448902664768379</v>
      </c>
      <c r="AI18" s="579">
        <v>1.2915402433056677</v>
      </c>
      <c r="AJ18" s="579">
        <v>1.4332972160561814</v>
      </c>
      <c r="AK18" s="579">
        <v>1.5586282550661188</v>
      </c>
      <c r="AL18" s="579">
        <v>1.6666923694790325</v>
      </c>
      <c r="AM18" s="579">
        <v>1.75904215655811</v>
      </c>
      <c r="AN18" s="580">
        <v>1.8317439123739139</v>
      </c>
    </row>
    <row r="19" spans="2:40" ht="15.75" thickBot="1" x14ac:dyDescent="0.3">
      <c r="B19" s="195"/>
      <c r="C19" s="195"/>
      <c r="D19" s="195"/>
      <c r="E19" s="195"/>
      <c r="F19" s="195"/>
      <c r="G19" s="195"/>
      <c r="H19" s="195"/>
      <c r="I19" s="195"/>
      <c r="K19" s="584"/>
      <c r="L19" s="584"/>
      <c r="M19" s="584"/>
      <c r="N19" s="584"/>
      <c r="O19" s="584"/>
      <c r="P19" s="584"/>
      <c r="Q19" s="584"/>
      <c r="R19" s="584"/>
      <c r="T19" s="584"/>
      <c r="U19" s="584"/>
      <c r="V19" s="584"/>
      <c r="W19" s="584"/>
      <c r="X19" s="584"/>
      <c r="Y19" s="584"/>
      <c r="Z19" s="584"/>
      <c r="AA19" s="584"/>
      <c r="AF19" s="578">
        <v>70</v>
      </c>
      <c r="AG19" s="579">
        <v>0.77380995083502335</v>
      </c>
      <c r="AH19" s="579">
        <v>0.87479506139653229</v>
      </c>
      <c r="AI19" s="579">
        <v>1.0070247459832156</v>
      </c>
      <c r="AJ19" s="579">
        <v>1.1467690063985529</v>
      </c>
      <c r="AK19" s="579">
        <v>1.2783337820096092</v>
      </c>
      <c r="AL19" s="579">
        <v>1.3949608595397365</v>
      </c>
      <c r="AM19" s="579">
        <v>1.493548558760051</v>
      </c>
      <c r="AN19" s="580">
        <v>1.5693854789622712</v>
      </c>
    </row>
    <row r="20" spans="2:40" ht="15.75" thickBot="1" x14ac:dyDescent="0.3">
      <c r="B20" s="181" t="s">
        <v>61</v>
      </c>
      <c r="C20" s="182" t="s">
        <v>58</v>
      </c>
      <c r="D20" s="183"/>
      <c r="E20" s="184"/>
      <c r="F20" s="184"/>
      <c r="G20" s="184"/>
      <c r="H20" s="184"/>
      <c r="I20" s="185"/>
      <c r="K20" s="570" t="s">
        <v>61</v>
      </c>
      <c r="L20" s="571" t="s">
        <v>58</v>
      </c>
      <c r="M20" s="572"/>
      <c r="N20" s="573"/>
      <c r="O20" s="573"/>
      <c r="P20" s="573"/>
      <c r="Q20" s="573"/>
      <c r="R20" s="574"/>
      <c r="T20" s="570" t="s">
        <v>61</v>
      </c>
      <c r="U20" s="571" t="s">
        <v>58</v>
      </c>
      <c r="V20" s="572"/>
      <c r="W20" s="573"/>
      <c r="X20" s="573"/>
      <c r="Y20" s="573"/>
      <c r="Z20" s="573"/>
      <c r="AA20" s="574"/>
      <c r="AF20" s="581">
        <v>80</v>
      </c>
      <c r="AG20" s="582">
        <v>0.61395153873656616</v>
      </c>
      <c r="AH20" s="582">
        <v>0.65871567774786666</v>
      </c>
      <c r="AI20" s="582">
        <v>0.7456526106044612</v>
      </c>
      <c r="AJ20" s="582">
        <v>0.85818825430721057</v>
      </c>
      <c r="AK20" s="582">
        <v>0.98195113225817687</v>
      </c>
      <c r="AL20" s="582">
        <v>1.1059229447662657</v>
      </c>
      <c r="AM20" s="582">
        <v>1.2202830695887987</v>
      </c>
      <c r="AN20" s="583">
        <v>1.3150460653106293</v>
      </c>
    </row>
    <row r="21" spans="2:40" ht="15.75" thickBot="1" x14ac:dyDescent="0.3">
      <c r="B21" s="186" t="s">
        <v>59</v>
      </c>
      <c r="C21" s="187">
        <v>30</v>
      </c>
      <c r="D21" s="187">
        <v>40</v>
      </c>
      <c r="E21" s="187">
        <v>50</v>
      </c>
      <c r="F21" s="187">
        <v>60</v>
      </c>
      <c r="G21" s="187">
        <v>70</v>
      </c>
      <c r="H21" s="187">
        <v>80</v>
      </c>
      <c r="I21" s="188">
        <v>90</v>
      </c>
      <c r="K21" s="575" t="s">
        <v>59</v>
      </c>
      <c r="L21" s="576">
        <v>30</v>
      </c>
      <c r="M21" s="576">
        <v>40</v>
      </c>
      <c r="N21" s="576">
        <v>50</v>
      </c>
      <c r="O21" s="576">
        <v>60</v>
      </c>
      <c r="P21" s="576">
        <v>70</v>
      </c>
      <c r="Q21" s="576">
        <v>80</v>
      </c>
      <c r="R21" s="577">
        <v>90</v>
      </c>
      <c r="T21" s="575" t="s">
        <v>59</v>
      </c>
      <c r="U21" s="576">
        <v>30</v>
      </c>
      <c r="V21" s="576">
        <v>40</v>
      </c>
      <c r="W21" s="576">
        <v>50</v>
      </c>
      <c r="X21" s="576">
        <v>60</v>
      </c>
      <c r="Y21" s="576">
        <v>70</v>
      </c>
      <c r="Z21" s="576">
        <v>80</v>
      </c>
      <c r="AA21" s="577">
        <v>90</v>
      </c>
      <c r="AF21" s="380"/>
      <c r="AG21" s="380"/>
      <c r="AH21" s="380"/>
      <c r="AI21" s="380"/>
      <c r="AJ21" s="380"/>
      <c r="AK21" s="380"/>
      <c r="AL21" s="380"/>
      <c r="AM21" s="380"/>
      <c r="AN21" s="380"/>
    </row>
    <row r="22" spans="2:40" ht="15" x14ac:dyDescent="0.25">
      <c r="B22" s="189">
        <v>30</v>
      </c>
      <c r="C22" s="190">
        <v>3.87</v>
      </c>
      <c r="D22" s="190">
        <v>4.157</v>
      </c>
      <c r="E22" s="190">
        <v>4.3580000000000005</v>
      </c>
      <c r="F22" s="190">
        <v>4.42</v>
      </c>
      <c r="G22" s="190">
        <v>4.452</v>
      </c>
      <c r="H22" s="190">
        <v>4.5019999999999998</v>
      </c>
      <c r="I22" s="191">
        <v>4.5860000000000003</v>
      </c>
      <c r="K22" s="578">
        <v>30</v>
      </c>
      <c r="L22" s="579">
        <v>3.915</v>
      </c>
      <c r="M22" s="579">
        <v>4.1340000000000003</v>
      </c>
      <c r="N22" s="579">
        <v>4.2799999999999994</v>
      </c>
      <c r="O22" s="579">
        <v>4.4220000000000006</v>
      </c>
      <c r="P22" s="579">
        <v>4.5190000000000001</v>
      </c>
      <c r="Q22" s="579">
        <v>4.6440000000000001</v>
      </c>
      <c r="R22" s="580">
        <v>4.7970000000000006</v>
      </c>
      <c r="T22" s="578">
        <v>30</v>
      </c>
      <c r="U22" s="579">
        <f>U30+U38</f>
        <v>3.6709100000000001</v>
      </c>
      <c r="V22" s="579">
        <f t="shared" ref="V22:AA22" si="7">V30+V38</f>
        <v>3.8824299999999998</v>
      </c>
      <c r="W22" s="579">
        <f t="shared" si="7"/>
        <v>4.0269999999999992</v>
      </c>
      <c r="X22" s="579">
        <f t="shared" si="7"/>
        <v>4.1680100000000007</v>
      </c>
      <c r="Y22" s="579">
        <f t="shared" si="7"/>
        <v>4.2686399999999995</v>
      </c>
      <c r="Z22" s="579">
        <f t="shared" si="7"/>
        <v>4.3938600000000001</v>
      </c>
      <c r="AA22" s="580">
        <f t="shared" si="7"/>
        <v>4.54521</v>
      </c>
      <c r="AF22" s="570" t="s">
        <v>449</v>
      </c>
      <c r="AG22" s="571" t="s">
        <v>58</v>
      </c>
      <c r="AH22" s="572"/>
      <c r="AI22" s="573"/>
      <c r="AJ22" s="573"/>
      <c r="AK22" s="573"/>
      <c r="AL22" s="573"/>
      <c r="AM22" s="573"/>
      <c r="AN22" s="574"/>
    </row>
    <row r="23" spans="2:40" ht="15" x14ac:dyDescent="0.25">
      <c r="B23" s="189">
        <v>40</v>
      </c>
      <c r="C23" s="190">
        <v>3.3090000000000002</v>
      </c>
      <c r="D23" s="190">
        <v>3.8250000000000002</v>
      </c>
      <c r="E23" s="190">
        <v>3.9350000000000005</v>
      </c>
      <c r="F23" s="190">
        <v>3.9580000000000002</v>
      </c>
      <c r="G23" s="190">
        <v>4.0229999999999997</v>
      </c>
      <c r="H23" s="190">
        <v>4.16</v>
      </c>
      <c r="I23" s="191">
        <v>4.2969999999999997</v>
      </c>
      <c r="K23" s="578">
        <v>40</v>
      </c>
      <c r="L23" s="579">
        <v>3.5390000000000001</v>
      </c>
      <c r="M23" s="579">
        <v>3.9729999999999999</v>
      </c>
      <c r="N23" s="579">
        <v>4.1070000000000002</v>
      </c>
      <c r="O23" s="579">
        <v>4.1189999999999998</v>
      </c>
      <c r="P23" s="579">
        <v>4.2279999999999998</v>
      </c>
      <c r="Q23" s="579">
        <v>4.3899999999999997</v>
      </c>
      <c r="R23" s="580">
        <v>4.5110000000000001</v>
      </c>
      <c r="T23" s="578">
        <v>40</v>
      </c>
      <c r="U23" s="579">
        <f t="shared" ref="U23:AA23" si="8">U31+U39</f>
        <v>3.2999700000000001</v>
      </c>
      <c r="V23" s="579">
        <f t="shared" si="8"/>
        <v>3.7063600000000001</v>
      </c>
      <c r="W23" s="579">
        <f t="shared" si="8"/>
        <v>3.8387099999999998</v>
      </c>
      <c r="X23" s="579">
        <f t="shared" si="8"/>
        <v>3.8602799999999999</v>
      </c>
      <c r="Y23" s="579">
        <f t="shared" si="8"/>
        <v>3.97126</v>
      </c>
      <c r="Z23" s="579">
        <f t="shared" si="8"/>
        <v>4.1317199999999996</v>
      </c>
      <c r="AA23" s="580">
        <f t="shared" si="8"/>
        <v>4.2546999999999997</v>
      </c>
      <c r="AF23" s="575" t="s">
        <v>59</v>
      </c>
      <c r="AG23" s="576">
        <v>30</v>
      </c>
      <c r="AH23" s="576">
        <v>40</v>
      </c>
      <c r="AI23" s="576">
        <v>50</v>
      </c>
      <c r="AJ23" s="576">
        <v>60</v>
      </c>
      <c r="AK23" s="576">
        <v>70</v>
      </c>
      <c r="AL23" s="576">
        <v>80</v>
      </c>
      <c r="AM23" s="576">
        <v>90</v>
      </c>
      <c r="AN23" s="577">
        <v>100</v>
      </c>
    </row>
    <row r="24" spans="2:40" ht="15" x14ac:dyDescent="0.25">
      <c r="B24" s="189">
        <v>50</v>
      </c>
      <c r="C24" s="190">
        <v>3.0270000000000001</v>
      </c>
      <c r="D24" s="190">
        <v>3.5629999999999997</v>
      </c>
      <c r="E24" s="190">
        <v>3.72</v>
      </c>
      <c r="F24" s="190">
        <v>3.7309999999999999</v>
      </c>
      <c r="G24" s="190">
        <v>3.8020000000000005</v>
      </c>
      <c r="H24" s="190">
        <v>3.9710000000000001</v>
      </c>
      <c r="I24" s="191">
        <v>4.0259999999999998</v>
      </c>
      <c r="K24" s="578">
        <v>50</v>
      </c>
      <c r="L24" s="579">
        <v>3.133</v>
      </c>
      <c r="M24" s="579">
        <v>3.7370000000000001</v>
      </c>
      <c r="N24" s="579">
        <v>3.875</v>
      </c>
      <c r="O24" s="579">
        <v>3.91</v>
      </c>
      <c r="P24" s="579">
        <v>4.0179999999999998</v>
      </c>
      <c r="Q24" s="579">
        <v>4.1400000000000006</v>
      </c>
      <c r="R24" s="580">
        <v>4.2480000000000002</v>
      </c>
      <c r="T24" s="578">
        <v>50</v>
      </c>
      <c r="U24" s="579">
        <f t="shared" ref="U24:AA24" si="9">U32+U40</f>
        <v>2.90761</v>
      </c>
      <c r="V24" s="579">
        <f t="shared" si="9"/>
        <v>3.4672799999999997</v>
      </c>
      <c r="W24" s="579">
        <f t="shared" si="9"/>
        <v>3.6060499999999998</v>
      </c>
      <c r="X24" s="579">
        <f t="shared" si="9"/>
        <v>3.6500700000000004</v>
      </c>
      <c r="Y24" s="579">
        <f t="shared" si="9"/>
        <v>3.7595000000000001</v>
      </c>
      <c r="Z24" s="579">
        <f t="shared" si="9"/>
        <v>3.8807300000000002</v>
      </c>
      <c r="AA24" s="580">
        <f t="shared" si="9"/>
        <v>3.9877399999999996</v>
      </c>
      <c r="AF24" s="578">
        <v>30</v>
      </c>
      <c r="AG24" s="579">
        <v>2.0417592779785094</v>
      </c>
      <c r="AH24" s="579">
        <v>2.0857549724793012</v>
      </c>
      <c r="AI24" s="579">
        <v>2.1379307136910395</v>
      </c>
      <c r="AJ24" s="579">
        <v>2.190573189620137</v>
      </c>
      <c r="AK24" s="579">
        <v>2.2284247975217468</v>
      </c>
      <c r="AL24" s="579">
        <v>2.2343438769564483</v>
      </c>
      <c r="AM24" s="579">
        <v>2.1979288836943125</v>
      </c>
      <c r="AN24" s="580">
        <v>2.1219550388390358</v>
      </c>
    </row>
    <row r="25" spans="2:40" ht="15" x14ac:dyDescent="0.25">
      <c r="B25" s="189">
        <v>60</v>
      </c>
      <c r="C25" s="190">
        <v>2.7709999999999999</v>
      </c>
      <c r="D25" s="190">
        <v>3.3630000000000004</v>
      </c>
      <c r="E25" s="190">
        <v>3.4969999999999999</v>
      </c>
      <c r="F25" s="190">
        <v>3.5579999999999998</v>
      </c>
      <c r="G25" s="190">
        <v>3.6630000000000003</v>
      </c>
      <c r="H25" s="190">
        <v>3.7810000000000001</v>
      </c>
      <c r="I25" s="191">
        <v>3.8769999999999998</v>
      </c>
      <c r="K25" s="578">
        <v>60</v>
      </c>
      <c r="L25" s="579">
        <v>2.887</v>
      </c>
      <c r="M25" s="579">
        <v>3.4799999999999995</v>
      </c>
      <c r="N25" s="579">
        <v>3.629</v>
      </c>
      <c r="O25" s="579">
        <v>3.7069999999999999</v>
      </c>
      <c r="P25" s="579">
        <v>3.84</v>
      </c>
      <c r="Q25" s="579">
        <v>3.9630000000000001</v>
      </c>
      <c r="R25" s="580">
        <v>4.0549999999999997</v>
      </c>
      <c r="T25" s="578">
        <v>60</v>
      </c>
      <c r="U25" s="579">
        <f t="shared" ref="U25:AA25" si="10">U33+U41</f>
        <v>2.66161</v>
      </c>
      <c r="V25" s="579">
        <f t="shared" si="10"/>
        <v>3.21061</v>
      </c>
      <c r="W25" s="579">
        <f t="shared" si="10"/>
        <v>3.35928</v>
      </c>
      <c r="X25" s="579">
        <f t="shared" si="10"/>
        <v>3.4435500000000001</v>
      </c>
      <c r="Y25" s="579">
        <f t="shared" si="10"/>
        <v>3.5765500000000001</v>
      </c>
      <c r="Z25" s="579">
        <f t="shared" si="10"/>
        <v>3.6988899999999996</v>
      </c>
      <c r="AA25" s="580">
        <f t="shared" si="10"/>
        <v>3.7926499999999996</v>
      </c>
      <c r="AF25" s="578">
        <v>40</v>
      </c>
      <c r="AG25" s="579">
        <v>2.0672036465150865</v>
      </c>
      <c r="AH25" s="579">
        <v>2.1118840219713841</v>
      </c>
      <c r="AI25" s="579">
        <v>2.1651594134251058</v>
      </c>
      <c r="AJ25" s="579">
        <v>2.2198932884917708</v>
      </c>
      <c r="AK25" s="579">
        <v>2.2589520334864717</v>
      </c>
      <c r="AL25" s="579">
        <v>2.2613359373931745</v>
      </c>
      <c r="AM25" s="579">
        <v>2.2132846485488145</v>
      </c>
      <c r="AN25" s="580">
        <v>2.1175382039980066</v>
      </c>
    </row>
    <row r="26" spans="2:40" ht="15.75" thickBot="1" x14ac:dyDescent="0.3">
      <c r="B26" s="192">
        <v>70</v>
      </c>
      <c r="C26" s="193">
        <v>2.504</v>
      </c>
      <c r="D26" s="193">
        <v>3.0739999999999998</v>
      </c>
      <c r="E26" s="193">
        <v>3.2559999999999998</v>
      </c>
      <c r="F26" s="193">
        <v>3.3209999999999997</v>
      </c>
      <c r="G26" s="193">
        <v>3.4260000000000002</v>
      </c>
      <c r="H26" s="193">
        <v>3.5609999999999999</v>
      </c>
      <c r="I26" s="194">
        <v>3.6759999999999997</v>
      </c>
      <c r="K26" s="581">
        <v>70</v>
      </c>
      <c r="L26" s="582">
        <v>2.6180000000000003</v>
      </c>
      <c r="M26" s="582">
        <v>3.2270000000000003</v>
      </c>
      <c r="N26" s="582">
        <v>3.4159999999999999</v>
      </c>
      <c r="O26" s="582">
        <v>3.524</v>
      </c>
      <c r="P26" s="582">
        <v>3.6139999999999999</v>
      </c>
      <c r="Q26" s="582">
        <v>3.75</v>
      </c>
      <c r="R26" s="583">
        <v>3.8559999999999999</v>
      </c>
      <c r="T26" s="581">
        <v>70</v>
      </c>
      <c r="U26" s="582">
        <f t="shared" ref="U26:AA26" si="11">U34+U42</f>
        <v>2.3972300000000004</v>
      </c>
      <c r="V26" s="582">
        <f t="shared" si="11"/>
        <v>2.9609100000000002</v>
      </c>
      <c r="W26" s="582">
        <f t="shared" si="11"/>
        <v>3.1452900000000001</v>
      </c>
      <c r="X26" s="582">
        <f t="shared" si="11"/>
        <v>3.25549</v>
      </c>
      <c r="Y26" s="582">
        <f t="shared" si="11"/>
        <v>3.3489000000000004</v>
      </c>
      <c r="Z26" s="582">
        <f t="shared" si="11"/>
        <v>3.4843500000000001</v>
      </c>
      <c r="AA26" s="583">
        <f t="shared" si="11"/>
        <v>3.5920000000000001</v>
      </c>
      <c r="AF26" s="578">
        <v>50</v>
      </c>
      <c r="AG26" s="579">
        <v>2.1280185021088189</v>
      </c>
      <c r="AH26" s="579">
        <v>2.1723567949358089</v>
      </c>
      <c r="AI26" s="579">
        <v>2.2239376645572526</v>
      </c>
      <c r="AJ26" s="579">
        <v>2.2770241054216855</v>
      </c>
      <c r="AK26" s="579">
        <v>2.3129535360120288</v>
      </c>
      <c r="AL26" s="579">
        <v>2.3066501901409371</v>
      </c>
      <c r="AM26" s="579">
        <v>2.2406650732461313</v>
      </c>
      <c r="AN26" s="580">
        <v>2.1178714693982963</v>
      </c>
    </row>
    <row r="27" spans="2:40" ht="15.75" thickBot="1" x14ac:dyDescent="0.3">
      <c r="AF27" s="578">
        <v>60</v>
      </c>
      <c r="AG27" s="579">
        <v>2.1885816155920237</v>
      </c>
      <c r="AH27" s="579">
        <v>2.226642500968099</v>
      </c>
      <c r="AI27" s="579">
        <v>2.2704856641180302</v>
      </c>
      <c r="AJ27" s="579">
        <v>2.3167534136612908</v>
      </c>
      <c r="AK27" s="579">
        <v>2.3462404956133618</v>
      </c>
      <c r="AL27" s="579">
        <v>2.3306131643215564</v>
      </c>
      <c r="AM27" s="579">
        <v>2.2490735928919778</v>
      </c>
      <c r="AN27" s="580">
        <v>2.1041970251170681</v>
      </c>
    </row>
    <row r="28" spans="2:40" ht="15" x14ac:dyDescent="0.25">
      <c r="B28" s="201" t="s">
        <v>62</v>
      </c>
      <c r="K28" s="570" t="s">
        <v>448</v>
      </c>
      <c r="L28" s="571" t="s">
        <v>58</v>
      </c>
      <c r="M28" s="572"/>
      <c r="N28" s="573"/>
      <c r="O28" s="573"/>
      <c r="P28" s="573"/>
      <c r="Q28" s="573"/>
      <c r="R28" s="574"/>
      <c r="T28" s="570" t="s">
        <v>448</v>
      </c>
      <c r="U28" s="571" t="s">
        <v>58</v>
      </c>
      <c r="V28" s="572"/>
      <c r="W28" s="573"/>
      <c r="X28" s="573"/>
      <c r="Y28" s="573"/>
      <c r="Z28" s="573"/>
      <c r="AA28" s="574"/>
      <c r="AF28" s="578">
        <v>70</v>
      </c>
      <c r="AG28" s="579">
        <v>2.2090093913710649</v>
      </c>
      <c r="AH28" s="579">
        <v>2.237689457761423</v>
      </c>
      <c r="AI28" s="579">
        <v>2.272316129004107</v>
      </c>
      <c r="AJ28" s="579">
        <v>2.3117664655364769</v>
      </c>
      <c r="AK28" s="579">
        <v>2.3372180023685512</v>
      </c>
      <c r="AL28" s="579">
        <v>2.3188600837799744</v>
      </c>
      <c r="AM28" s="579">
        <v>2.2338448397713941</v>
      </c>
      <c r="AN28" s="580">
        <v>2.0837448740719129</v>
      </c>
    </row>
    <row r="29" spans="2:40" ht="15.75" thickBot="1" x14ac:dyDescent="0.3">
      <c r="B29" s="202" t="s">
        <v>130</v>
      </c>
      <c r="K29" s="575" t="s">
        <v>59</v>
      </c>
      <c r="L29" s="576">
        <v>30</v>
      </c>
      <c r="M29" s="576">
        <v>40</v>
      </c>
      <c r="N29" s="576">
        <v>50</v>
      </c>
      <c r="O29" s="576">
        <v>60</v>
      </c>
      <c r="P29" s="576">
        <v>70</v>
      </c>
      <c r="Q29" s="576">
        <v>80</v>
      </c>
      <c r="R29" s="577">
        <v>90</v>
      </c>
      <c r="T29" s="575" t="s">
        <v>59</v>
      </c>
      <c r="U29" s="576">
        <v>30</v>
      </c>
      <c r="V29" s="576">
        <v>40</v>
      </c>
      <c r="W29" s="576">
        <v>50</v>
      </c>
      <c r="X29" s="576">
        <v>60</v>
      </c>
      <c r="Y29" s="576">
        <v>70</v>
      </c>
      <c r="Z29" s="576">
        <v>80</v>
      </c>
      <c r="AA29" s="577">
        <v>90</v>
      </c>
      <c r="AF29" s="581">
        <v>80</v>
      </c>
      <c r="AG29" s="582">
        <v>2.1786168084660016</v>
      </c>
      <c r="AH29" s="582">
        <v>2.2029836258081246</v>
      </c>
      <c r="AI29" s="582">
        <v>2.2351093567829072</v>
      </c>
      <c r="AJ29" s="582">
        <v>2.2744157456184242</v>
      </c>
      <c r="AK29" s="582">
        <v>2.3028719706755982</v>
      </c>
      <c r="AL29" s="582">
        <v>2.2914849694509476</v>
      </c>
      <c r="AM29" s="582">
        <v>2.2175429472752484</v>
      </c>
      <c r="AN29" s="583">
        <v>2.0813781661507118</v>
      </c>
    </row>
    <row r="30" spans="2:40" ht="15.75" thickBot="1" x14ac:dyDescent="0.3">
      <c r="B30" s="202" t="s">
        <v>131</v>
      </c>
      <c r="K30" s="578">
        <v>30</v>
      </c>
      <c r="L30" s="579">
        <v>1.696</v>
      </c>
      <c r="M30" s="579">
        <v>1.847</v>
      </c>
      <c r="N30" s="579">
        <v>1.98</v>
      </c>
      <c r="O30" s="579">
        <v>2.113</v>
      </c>
      <c r="P30" s="579">
        <v>2.2429999999999999</v>
      </c>
      <c r="Q30" s="579">
        <v>2.37</v>
      </c>
      <c r="R30" s="580">
        <v>2.508</v>
      </c>
      <c r="T30" s="578">
        <v>30</v>
      </c>
      <c r="U30" s="579">
        <v>1.696</v>
      </c>
      <c r="V30" s="579">
        <v>1.847</v>
      </c>
      <c r="W30" s="579">
        <v>1.98</v>
      </c>
      <c r="X30" s="579">
        <v>2.113</v>
      </c>
      <c r="Y30" s="579">
        <v>2.2429999999999999</v>
      </c>
      <c r="Z30" s="579">
        <v>2.37</v>
      </c>
      <c r="AA30" s="580">
        <v>2.508</v>
      </c>
      <c r="AF30" s="380"/>
      <c r="AG30" s="380"/>
      <c r="AH30" s="380"/>
      <c r="AI30" s="380"/>
      <c r="AJ30" s="380"/>
      <c r="AK30" s="380"/>
      <c r="AL30" s="380"/>
      <c r="AM30" s="380"/>
      <c r="AN30" s="380"/>
    </row>
    <row r="31" spans="2:40" ht="15" x14ac:dyDescent="0.25">
      <c r="K31" s="578">
        <v>40</v>
      </c>
      <c r="L31" s="579">
        <v>1.3660000000000001</v>
      </c>
      <c r="M31" s="579">
        <v>1.5489999999999999</v>
      </c>
      <c r="N31" s="579">
        <v>1.6679999999999999</v>
      </c>
      <c r="O31" s="579">
        <v>1.7669999999999999</v>
      </c>
      <c r="P31" s="579">
        <v>1.8939999999999999</v>
      </c>
      <c r="Q31" s="579">
        <v>2.0419999999999998</v>
      </c>
      <c r="R31" s="580">
        <v>2.181</v>
      </c>
      <c r="T31" s="578">
        <v>40</v>
      </c>
      <c r="U31" s="579">
        <v>1.3660000000000001</v>
      </c>
      <c r="V31" s="579">
        <v>1.5489999999999999</v>
      </c>
      <c r="W31" s="579">
        <v>1.6679999999999999</v>
      </c>
      <c r="X31" s="579">
        <v>1.7669999999999999</v>
      </c>
      <c r="Y31" s="579">
        <v>1.8939999999999999</v>
      </c>
      <c r="Z31" s="579">
        <v>2.0419999999999998</v>
      </c>
      <c r="AA31" s="580">
        <v>2.181</v>
      </c>
      <c r="AF31" s="570" t="s">
        <v>762</v>
      </c>
      <c r="AG31" s="571" t="s">
        <v>58</v>
      </c>
      <c r="AH31" s="572"/>
      <c r="AI31" s="573"/>
      <c r="AJ31" s="573"/>
      <c r="AK31" s="573"/>
      <c r="AL31" s="573"/>
      <c r="AM31" s="573"/>
      <c r="AN31" s="574"/>
    </row>
    <row r="32" spans="2:40" ht="15" x14ac:dyDescent="0.25">
      <c r="K32" s="578">
        <v>50</v>
      </c>
      <c r="L32" s="579">
        <v>1.0840000000000001</v>
      </c>
      <c r="M32" s="579">
        <v>1.2849999999999999</v>
      </c>
      <c r="N32" s="579">
        <v>1.43</v>
      </c>
      <c r="O32" s="579">
        <v>1.5469999999999999</v>
      </c>
      <c r="P32" s="579">
        <v>1.6679999999999999</v>
      </c>
      <c r="Q32" s="579">
        <v>1.7829999999999999</v>
      </c>
      <c r="R32" s="580">
        <v>1.8819999999999999</v>
      </c>
      <c r="T32" s="578">
        <v>50</v>
      </c>
      <c r="U32" s="579">
        <v>1.0840000000000001</v>
      </c>
      <c r="V32" s="579">
        <v>1.2849999999999999</v>
      </c>
      <c r="W32" s="579">
        <v>1.43</v>
      </c>
      <c r="X32" s="579">
        <v>1.5469999999999999</v>
      </c>
      <c r="Y32" s="579">
        <v>1.6679999999999999</v>
      </c>
      <c r="Z32" s="579">
        <v>1.7829999999999999</v>
      </c>
      <c r="AA32" s="580">
        <v>1.8819999999999999</v>
      </c>
      <c r="AF32" s="575" t="s">
        <v>59</v>
      </c>
      <c r="AG32" s="576">
        <v>30</v>
      </c>
      <c r="AH32" s="576">
        <v>40</v>
      </c>
      <c r="AI32" s="576">
        <v>50</v>
      </c>
      <c r="AJ32" s="576">
        <v>60</v>
      </c>
      <c r="AK32" s="576">
        <v>70</v>
      </c>
      <c r="AL32" s="576">
        <v>80</v>
      </c>
      <c r="AM32" s="576">
        <v>90</v>
      </c>
      <c r="AN32" s="577">
        <v>100</v>
      </c>
    </row>
    <row r="33" spans="11:40" ht="15" x14ac:dyDescent="0.25">
      <c r="K33" s="578">
        <v>60</v>
      </c>
      <c r="L33" s="579">
        <v>0.83799999999999997</v>
      </c>
      <c r="M33" s="579">
        <v>1.0309999999999999</v>
      </c>
      <c r="N33" s="579">
        <v>1.177</v>
      </c>
      <c r="O33" s="579">
        <v>1.3120000000000001</v>
      </c>
      <c r="P33" s="579">
        <v>1.4450000000000001</v>
      </c>
      <c r="Q33" s="579">
        <v>1.5620000000000001</v>
      </c>
      <c r="R33" s="580">
        <v>1.67</v>
      </c>
      <c r="T33" s="578">
        <v>60</v>
      </c>
      <c r="U33" s="579">
        <v>0.83799999999999997</v>
      </c>
      <c r="V33" s="579">
        <v>1.0309999999999999</v>
      </c>
      <c r="W33" s="579">
        <v>1.177</v>
      </c>
      <c r="X33" s="579">
        <v>1.3120000000000001</v>
      </c>
      <c r="Y33" s="579">
        <v>1.4450000000000001</v>
      </c>
      <c r="Z33" s="579">
        <v>1.5620000000000001</v>
      </c>
      <c r="AA33" s="580">
        <v>1.67</v>
      </c>
      <c r="AF33" s="578">
        <v>30</v>
      </c>
      <c r="AG33" s="579">
        <v>3.8518783991250269</v>
      </c>
      <c r="AH33" s="579">
        <v>4.0301949680707132</v>
      </c>
      <c r="AI33" s="579">
        <v>4.22268656594993</v>
      </c>
      <c r="AJ33" s="579">
        <v>4.4125378033346951</v>
      </c>
      <c r="AK33" s="579">
        <v>4.5787796816653863</v>
      </c>
      <c r="AL33" s="579">
        <v>4.6999815474746827</v>
      </c>
      <c r="AM33" s="579">
        <v>4.7579478563953579</v>
      </c>
      <c r="AN33" s="580">
        <v>4.7409904540373775</v>
      </c>
    </row>
    <row r="34" spans="11:40" ht="15.75" thickBot="1" x14ac:dyDescent="0.3">
      <c r="K34" s="581">
        <v>70</v>
      </c>
      <c r="L34" s="582">
        <v>0.61099999999999999</v>
      </c>
      <c r="M34" s="582">
        <v>0.80800000000000005</v>
      </c>
      <c r="N34" s="582">
        <v>0.95499999999999996</v>
      </c>
      <c r="O34" s="582">
        <v>1.083</v>
      </c>
      <c r="P34" s="582">
        <v>1.204</v>
      </c>
      <c r="Q34" s="582">
        <v>1.335</v>
      </c>
      <c r="R34" s="583">
        <v>1.456</v>
      </c>
      <c r="T34" s="581">
        <v>70</v>
      </c>
      <c r="U34" s="582">
        <v>0.61099999999999999</v>
      </c>
      <c r="V34" s="582">
        <v>0.80800000000000005</v>
      </c>
      <c r="W34" s="582">
        <v>0.95499999999999996</v>
      </c>
      <c r="X34" s="582">
        <v>1.083</v>
      </c>
      <c r="Y34" s="582">
        <v>1.204</v>
      </c>
      <c r="Z34" s="582">
        <v>1.335</v>
      </c>
      <c r="AA34" s="583">
        <v>1.456</v>
      </c>
      <c r="AF34" s="578">
        <v>40</v>
      </c>
      <c r="AG34" s="579">
        <v>3.6173981303302725</v>
      </c>
      <c r="AH34" s="579">
        <v>3.7906330522801097</v>
      </c>
      <c r="AI34" s="579">
        <v>3.9815808371324701</v>
      </c>
      <c r="AJ34" s="579">
        <v>4.1722128518395438</v>
      </c>
      <c r="AK34" s="579">
        <v>4.3413585190731734</v>
      </c>
      <c r="AL34" s="579">
        <v>4.4675411025636782</v>
      </c>
      <c r="AM34" s="579">
        <v>4.5322814323706009</v>
      </c>
      <c r="AN34" s="580">
        <v>4.5239083412289327</v>
      </c>
    </row>
    <row r="35" spans="11:40" ht="15.75" thickBot="1" x14ac:dyDescent="0.3">
      <c r="K35" s="584"/>
      <c r="L35" s="584"/>
      <c r="M35" s="584"/>
      <c r="N35" s="584"/>
      <c r="O35" s="584"/>
      <c r="P35" s="584"/>
      <c r="Q35" s="584"/>
      <c r="R35" s="584"/>
      <c r="T35" s="584"/>
      <c r="U35" s="584"/>
      <c r="V35" s="584"/>
      <c r="W35" s="584"/>
      <c r="X35" s="584"/>
      <c r="Y35" s="584"/>
      <c r="Z35" s="584"/>
      <c r="AA35" s="584"/>
      <c r="AF35" s="578">
        <v>50</v>
      </c>
      <c r="AG35" s="579">
        <v>3.4102003035847299</v>
      </c>
      <c r="AH35" s="579">
        <v>3.5852397193933832</v>
      </c>
      <c r="AI35" s="579">
        <v>3.7783492074893514</v>
      </c>
      <c r="AJ35" s="579">
        <v>3.9669151666054474</v>
      </c>
      <c r="AK35" s="579">
        <v>4.126166096913181</v>
      </c>
      <c r="AL35" s="579">
        <v>4.2328523458812306</v>
      </c>
      <c r="AM35" s="579">
        <v>4.2699369433611665</v>
      </c>
      <c r="AN35" s="580">
        <v>4.23154995621283</v>
      </c>
    </row>
    <row r="36" spans="11:40" ht="15" x14ac:dyDescent="0.25">
      <c r="K36" s="570" t="s">
        <v>449</v>
      </c>
      <c r="L36" s="571" t="s">
        <v>58</v>
      </c>
      <c r="M36" s="572"/>
      <c r="N36" s="573"/>
      <c r="O36" s="573"/>
      <c r="P36" s="573"/>
      <c r="Q36" s="573"/>
      <c r="R36" s="574"/>
      <c r="T36" s="570" t="s">
        <v>449</v>
      </c>
      <c r="U36" s="571" t="s">
        <v>58</v>
      </c>
      <c r="V36" s="572"/>
      <c r="W36" s="573"/>
      <c r="X36" s="573"/>
      <c r="Y36" s="573"/>
      <c r="Z36" s="573"/>
      <c r="AA36" s="574"/>
      <c r="AF36" s="578">
        <v>60</v>
      </c>
      <c r="AG36" s="579">
        <v>3.2050422180140368</v>
      </c>
      <c r="AH36" s="579">
        <v>3.3715327674449371</v>
      </c>
      <c r="AI36" s="579">
        <v>3.5620259074236982</v>
      </c>
      <c r="AJ36" s="579">
        <v>3.7500506297174723</v>
      </c>
      <c r="AK36" s="579">
        <v>3.9048687506794808</v>
      </c>
      <c r="AL36" s="579">
        <v>3.997305533800589</v>
      </c>
      <c r="AM36" s="579">
        <v>4.0081157494500879</v>
      </c>
      <c r="AN36" s="580">
        <v>3.9359409374909822</v>
      </c>
    </row>
    <row r="37" spans="11:40" ht="15" x14ac:dyDescent="0.25">
      <c r="K37" s="575" t="s">
        <v>59</v>
      </c>
      <c r="L37" s="576">
        <v>30</v>
      </c>
      <c r="M37" s="576">
        <v>40</v>
      </c>
      <c r="N37" s="576">
        <v>50</v>
      </c>
      <c r="O37" s="576">
        <v>60</v>
      </c>
      <c r="P37" s="576">
        <v>70</v>
      </c>
      <c r="Q37" s="576">
        <v>80</v>
      </c>
      <c r="R37" s="577">
        <v>90</v>
      </c>
      <c r="T37" s="575" t="s">
        <v>59</v>
      </c>
      <c r="U37" s="576">
        <v>30</v>
      </c>
      <c r="V37" s="576">
        <v>40</v>
      </c>
      <c r="W37" s="576">
        <v>50</v>
      </c>
      <c r="X37" s="576">
        <v>60</v>
      </c>
      <c r="Y37" s="576">
        <v>70</v>
      </c>
      <c r="Z37" s="576">
        <v>80</v>
      </c>
      <c r="AA37" s="577">
        <v>90</v>
      </c>
      <c r="AF37" s="578">
        <v>70</v>
      </c>
      <c r="AG37" s="579">
        <v>2.9828193422060885</v>
      </c>
      <c r="AH37" s="579">
        <v>3.1124845191579551</v>
      </c>
      <c r="AI37" s="579">
        <v>3.2793408749873225</v>
      </c>
      <c r="AJ37" s="579">
        <v>3.4585354719350301</v>
      </c>
      <c r="AK37" s="579">
        <v>3.6155517843781606</v>
      </c>
      <c r="AL37" s="579">
        <v>3.7138209433197109</v>
      </c>
      <c r="AM37" s="579">
        <v>3.7273933985314454</v>
      </c>
      <c r="AN37" s="580">
        <v>3.6531303530341841</v>
      </c>
    </row>
    <row r="38" spans="11:40" ht="15.75" thickBot="1" x14ac:dyDescent="0.3">
      <c r="K38" s="578">
        <v>30</v>
      </c>
      <c r="L38" s="579">
        <v>2.2189999999999999</v>
      </c>
      <c r="M38" s="579">
        <v>2.2869999999999999</v>
      </c>
      <c r="N38" s="579">
        <v>2.2999999999999998</v>
      </c>
      <c r="O38" s="579">
        <v>2.3090000000000002</v>
      </c>
      <c r="P38" s="579">
        <v>2.2759999999999998</v>
      </c>
      <c r="Q38" s="579">
        <v>2.274</v>
      </c>
      <c r="R38" s="580">
        <v>2.2890000000000001</v>
      </c>
      <c r="T38" s="578">
        <v>30</v>
      </c>
      <c r="U38" s="579">
        <f>L38*(1-0.11)</f>
        <v>1.9749099999999999</v>
      </c>
      <c r="V38" s="579">
        <f t="shared" ref="V38:AA38" si="12">M38*(1-0.11)</f>
        <v>2.0354299999999999</v>
      </c>
      <c r="W38" s="579">
        <f t="shared" si="12"/>
        <v>2.0469999999999997</v>
      </c>
      <c r="X38" s="579">
        <f t="shared" si="12"/>
        <v>2.0550100000000002</v>
      </c>
      <c r="Y38" s="579">
        <f t="shared" si="12"/>
        <v>2.0256399999999997</v>
      </c>
      <c r="Z38" s="579">
        <f t="shared" si="12"/>
        <v>2.02386</v>
      </c>
      <c r="AA38" s="580">
        <f t="shared" si="12"/>
        <v>2.03721</v>
      </c>
      <c r="AF38" s="581">
        <v>80</v>
      </c>
      <c r="AG38" s="582">
        <v>2.7925683472025677</v>
      </c>
      <c r="AH38" s="582">
        <v>2.8616993035559912</v>
      </c>
      <c r="AI38" s="582">
        <v>2.9807619673873686</v>
      </c>
      <c r="AJ38" s="582">
        <v>3.1326039999256348</v>
      </c>
      <c r="AK38" s="582">
        <v>3.2848231029337751</v>
      </c>
      <c r="AL38" s="582">
        <v>3.3974079142172133</v>
      </c>
      <c r="AM38" s="582">
        <v>3.4378260168640473</v>
      </c>
      <c r="AN38" s="583">
        <v>3.3964242314613413</v>
      </c>
    </row>
    <row r="39" spans="11:40" ht="15.75" thickBot="1" x14ac:dyDescent="0.3">
      <c r="K39" s="578">
        <v>40</v>
      </c>
      <c r="L39" s="579">
        <v>2.173</v>
      </c>
      <c r="M39" s="579">
        <v>2.4239999999999999</v>
      </c>
      <c r="N39" s="579">
        <v>2.4390000000000001</v>
      </c>
      <c r="O39" s="579">
        <v>2.3519999999999999</v>
      </c>
      <c r="P39" s="579">
        <v>2.3340000000000001</v>
      </c>
      <c r="Q39" s="579">
        <v>2.3479999999999999</v>
      </c>
      <c r="R39" s="580">
        <v>2.33</v>
      </c>
      <c r="T39" s="578">
        <v>40</v>
      </c>
      <c r="U39" s="579">
        <f>L39*(1-0.11)</f>
        <v>1.93397</v>
      </c>
      <c r="V39" s="579">
        <f t="shared" ref="V39:AA42" si="13">M39*(1-0.11)</f>
        <v>2.1573600000000002</v>
      </c>
      <c r="W39" s="579">
        <f t="shared" si="13"/>
        <v>2.1707100000000001</v>
      </c>
      <c r="X39" s="579">
        <f t="shared" si="13"/>
        <v>2.09328</v>
      </c>
      <c r="Y39" s="579">
        <f t="shared" si="13"/>
        <v>2.0772599999999999</v>
      </c>
      <c r="Z39" s="579">
        <f t="shared" si="13"/>
        <v>2.0897199999999998</v>
      </c>
      <c r="AA39" s="580">
        <f t="shared" si="13"/>
        <v>2.0737000000000001</v>
      </c>
      <c r="AF39" s="380"/>
      <c r="AG39" s="145"/>
      <c r="AH39" s="145"/>
      <c r="AI39" s="145"/>
      <c r="AJ39" s="145"/>
      <c r="AK39" s="145"/>
      <c r="AL39" s="145"/>
      <c r="AM39" s="145"/>
      <c r="AN39" s="145"/>
    </row>
    <row r="40" spans="11:40" ht="15" x14ac:dyDescent="0.25">
      <c r="K40" s="578">
        <v>50</v>
      </c>
      <c r="L40" s="579">
        <v>2.0489999999999999</v>
      </c>
      <c r="M40" s="579">
        <v>2.452</v>
      </c>
      <c r="N40" s="579">
        <v>2.4449999999999998</v>
      </c>
      <c r="O40" s="579">
        <v>2.363</v>
      </c>
      <c r="P40" s="579">
        <v>2.35</v>
      </c>
      <c r="Q40" s="579">
        <v>2.3570000000000002</v>
      </c>
      <c r="R40" s="580">
        <v>2.3660000000000001</v>
      </c>
      <c r="T40" s="578">
        <v>50</v>
      </c>
      <c r="U40" s="579">
        <f>L40*(1-0.11)</f>
        <v>1.82361</v>
      </c>
      <c r="V40" s="579">
        <f t="shared" si="13"/>
        <v>2.18228</v>
      </c>
      <c r="W40" s="579">
        <f t="shared" si="13"/>
        <v>2.17605</v>
      </c>
      <c r="X40" s="579">
        <f t="shared" si="13"/>
        <v>2.1030700000000002</v>
      </c>
      <c r="Y40" s="579">
        <f t="shared" si="13"/>
        <v>2.0914999999999999</v>
      </c>
      <c r="Z40" s="579">
        <f t="shared" si="13"/>
        <v>2.0977300000000003</v>
      </c>
      <c r="AA40" s="580">
        <f t="shared" si="13"/>
        <v>2.1057399999999999</v>
      </c>
      <c r="AC40" s="613"/>
      <c r="AD40" s="613"/>
      <c r="AF40" s="570" t="s">
        <v>60</v>
      </c>
      <c r="AG40" s="571" t="s">
        <v>58</v>
      </c>
      <c r="AH40" s="572"/>
      <c r="AI40" s="573"/>
      <c r="AJ40" s="573"/>
      <c r="AK40" s="573"/>
      <c r="AL40" s="573"/>
      <c r="AM40" s="573"/>
      <c r="AN40" s="574"/>
    </row>
    <row r="41" spans="11:40" ht="15" x14ac:dyDescent="0.25">
      <c r="K41" s="578">
        <v>60</v>
      </c>
      <c r="L41" s="579">
        <v>2.0489999999999999</v>
      </c>
      <c r="M41" s="579">
        <v>2.4489999999999998</v>
      </c>
      <c r="N41" s="579">
        <v>2.452</v>
      </c>
      <c r="O41" s="579">
        <v>2.395</v>
      </c>
      <c r="P41" s="579">
        <v>2.395</v>
      </c>
      <c r="Q41" s="579">
        <v>2.4009999999999998</v>
      </c>
      <c r="R41" s="580">
        <v>2.3849999999999998</v>
      </c>
      <c r="T41" s="578">
        <v>60</v>
      </c>
      <c r="U41" s="579">
        <f>L41*(1-0.11)</f>
        <v>1.82361</v>
      </c>
      <c r="V41" s="579">
        <f t="shared" si="13"/>
        <v>2.1796099999999998</v>
      </c>
      <c r="W41" s="579">
        <f t="shared" si="13"/>
        <v>2.18228</v>
      </c>
      <c r="X41" s="579">
        <f t="shared" si="13"/>
        <v>2.1315499999999998</v>
      </c>
      <c r="Y41" s="579">
        <f t="shared" si="13"/>
        <v>2.1315499999999998</v>
      </c>
      <c r="Z41" s="579">
        <f t="shared" si="13"/>
        <v>2.1368899999999997</v>
      </c>
      <c r="AA41" s="580">
        <f t="shared" si="13"/>
        <v>2.1226499999999997</v>
      </c>
      <c r="AF41" s="575" t="s">
        <v>59</v>
      </c>
      <c r="AG41" s="576">
        <v>30</v>
      </c>
      <c r="AH41" s="576">
        <v>40</v>
      </c>
      <c r="AI41" s="576">
        <v>50</v>
      </c>
      <c r="AJ41" s="576">
        <v>60</v>
      </c>
      <c r="AK41" s="576">
        <v>70</v>
      </c>
      <c r="AL41" s="576">
        <v>80</v>
      </c>
      <c r="AM41" s="576">
        <v>90</v>
      </c>
      <c r="AN41" s="577">
        <v>100</v>
      </c>
    </row>
    <row r="42" spans="11:40" ht="15.75" thickBot="1" x14ac:dyDescent="0.3">
      <c r="K42" s="581">
        <v>70</v>
      </c>
      <c r="L42" s="582">
        <v>2.0070000000000001</v>
      </c>
      <c r="M42" s="582">
        <v>2.419</v>
      </c>
      <c r="N42" s="582">
        <v>2.4609999999999999</v>
      </c>
      <c r="O42" s="582">
        <v>2.4409999999999998</v>
      </c>
      <c r="P42" s="582">
        <v>2.41</v>
      </c>
      <c r="Q42" s="582">
        <v>2.415</v>
      </c>
      <c r="R42" s="583">
        <v>2.4</v>
      </c>
      <c r="T42" s="581">
        <v>70</v>
      </c>
      <c r="U42" s="582">
        <f>L42*(1-0.11)</f>
        <v>1.7862300000000002</v>
      </c>
      <c r="V42" s="582">
        <f t="shared" si="13"/>
        <v>2.1529099999999999</v>
      </c>
      <c r="W42" s="582">
        <f t="shared" si="13"/>
        <v>2.1902900000000001</v>
      </c>
      <c r="X42" s="582">
        <f t="shared" si="13"/>
        <v>2.1724899999999998</v>
      </c>
      <c r="Y42" s="582">
        <f t="shared" si="13"/>
        <v>2.1449000000000003</v>
      </c>
      <c r="Z42" s="582">
        <f t="shared" si="13"/>
        <v>2.1493500000000001</v>
      </c>
      <c r="AA42" s="583">
        <f t="shared" si="13"/>
        <v>2.1360000000000001</v>
      </c>
      <c r="AF42" s="578">
        <v>30</v>
      </c>
      <c r="AG42" s="579">
        <v>0.46993153303014312</v>
      </c>
      <c r="AH42" s="579">
        <v>0.48246797264059699</v>
      </c>
      <c r="AI42" s="579">
        <v>0.49370366938184213</v>
      </c>
      <c r="AJ42" s="579">
        <v>0.50355707140579031</v>
      </c>
      <c r="AK42" s="579">
        <v>0.51331469246163242</v>
      </c>
      <c r="AL42" s="579">
        <v>0.52460581932348871</v>
      </c>
      <c r="AM42" s="579">
        <v>0.53805107789485684</v>
      </c>
      <c r="AN42" s="580">
        <v>0.55242368458430424</v>
      </c>
    </row>
    <row r="43" spans="11:40" ht="15" x14ac:dyDescent="0.25">
      <c r="AF43" s="578">
        <v>40</v>
      </c>
      <c r="AG43" s="579">
        <v>0.42853853182968604</v>
      </c>
      <c r="AH43" s="579">
        <v>0.44286772345293052</v>
      </c>
      <c r="AI43" s="579">
        <v>0.4562060894927224</v>
      </c>
      <c r="AJ43" s="579">
        <v>0.46793383575504494</v>
      </c>
      <c r="AK43" s="579">
        <v>0.47966701585181909</v>
      </c>
      <c r="AL43" s="579">
        <v>0.49382985282541281</v>
      </c>
      <c r="AM43" s="579">
        <v>0.51166213273054384</v>
      </c>
      <c r="AN43" s="580">
        <v>0.53192283214500957</v>
      </c>
    </row>
    <row r="44" spans="11:40" ht="15" x14ac:dyDescent="0.25">
      <c r="AF44" s="578">
        <v>50</v>
      </c>
      <c r="AG44" s="579">
        <v>0.37598430805607191</v>
      </c>
      <c r="AH44" s="579">
        <v>0.39408325106267422</v>
      </c>
      <c r="AI44" s="579">
        <v>0.41139965036873311</v>
      </c>
      <c r="AJ44" s="579">
        <v>0.42599626919418815</v>
      </c>
      <c r="AK44" s="579">
        <v>0.43944245537222359</v>
      </c>
      <c r="AL44" s="579">
        <v>0.45506008675558479</v>
      </c>
      <c r="AM44" s="579">
        <v>0.47524633197923843</v>
      </c>
      <c r="AN44" s="580">
        <v>0.4995045571212498</v>
      </c>
    </row>
    <row r="45" spans="11:40" ht="15" x14ac:dyDescent="0.25">
      <c r="AF45" s="578">
        <v>60</v>
      </c>
      <c r="AG45" s="579">
        <v>0.3171442162942395</v>
      </c>
      <c r="AH45" s="579">
        <v>0.33957560120184593</v>
      </c>
      <c r="AI45" s="579">
        <v>0.36258586458170888</v>
      </c>
      <c r="AJ45" s="579">
        <v>0.38220743066718693</v>
      </c>
      <c r="AK45" s="579">
        <v>0.39914997265782726</v>
      </c>
      <c r="AL45" s="579">
        <v>0.41695395945737523</v>
      </c>
      <c r="AM45" s="579">
        <v>0.43887009919797104</v>
      </c>
      <c r="AN45" s="580">
        <v>0.46538907505598481</v>
      </c>
    </row>
    <row r="46" spans="11:40" ht="15" x14ac:dyDescent="0.25">
      <c r="AF46" s="578">
        <v>70</v>
      </c>
      <c r="AG46" s="579">
        <v>0.25942233238393669</v>
      </c>
      <c r="AH46" s="579">
        <v>0.28106005219045954</v>
      </c>
      <c r="AI46" s="579">
        <v>0.30708144848989161</v>
      </c>
      <c r="AJ46" s="579">
        <v>0.33157647672092327</v>
      </c>
      <c r="AK46" s="579">
        <v>0.35356533614950564</v>
      </c>
      <c r="AL46" s="579">
        <v>0.3756133860058446</v>
      </c>
      <c r="AM46" s="579">
        <v>0.40069517731841608</v>
      </c>
      <c r="AN46" s="580">
        <v>0.42960018594978006</v>
      </c>
    </row>
    <row r="47" spans="11:40" ht="15.75" thickBot="1" x14ac:dyDescent="0.3">
      <c r="AF47" s="581">
        <v>80</v>
      </c>
      <c r="AG47" s="582">
        <v>0.21985192926489588</v>
      </c>
      <c r="AH47" s="582">
        <v>0.23018340079593147</v>
      </c>
      <c r="AI47" s="582">
        <v>0.25015503376743098</v>
      </c>
      <c r="AJ47" s="582">
        <v>0.27395363548267931</v>
      </c>
      <c r="AK47" s="582">
        <v>0.29893577263907045</v>
      </c>
      <c r="AL47" s="582">
        <v>0.32551962339826307</v>
      </c>
      <c r="AM47" s="582">
        <v>0.35495777377993359</v>
      </c>
      <c r="AN47" s="583">
        <v>0.38718545614215549</v>
      </c>
    </row>
    <row r="48" spans="11:40" ht="15" x14ac:dyDescent="0.25">
      <c r="AF48" s="380"/>
      <c r="AG48" s="380"/>
      <c r="AH48" s="380"/>
      <c r="AI48" s="380"/>
      <c r="AJ48" s="380"/>
      <c r="AK48" s="380"/>
      <c r="AL48" s="380"/>
      <c r="AM48" s="380"/>
      <c r="AN48" s="380"/>
    </row>
    <row r="49" spans="32:40" ht="15" x14ac:dyDescent="0.25">
      <c r="AF49" s="380"/>
      <c r="AG49" s="380"/>
      <c r="AH49" s="380"/>
      <c r="AI49" s="380"/>
      <c r="AJ49" s="380"/>
      <c r="AK49" s="380"/>
      <c r="AL49" s="380"/>
      <c r="AM49" s="380"/>
      <c r="AN49" s="380"/>
    </row>
    <row r="50" spans="32:40" ht="15" x14ac:dyDescent="0.25">
      <c r="AF50" s="380"/>
      <c r="AG50" s="380"/>
      <c r="AH50" s="380"/>
      <c r="AI50" s="380"/>
      <c r="AJ50" s="380"/>
      <c r="AK50" s="380"/>
      <c r="AL50" s="380"/>
      <c r="AM50" s="380"/>
      <c r="AN50" s="380"/>
    </row>
    <row r="51" spans="32:40" ht="15" x14ac:dyDescent="0.25">
      <c r="AF51" s="380"/>
      <c r="AG51" s="380"/>
      <c r="AH51" s="380"/>
      <c r="AI51" s="380"/>
      <c r="AJ51" s="380"/>
      <c r="AK51" s="380"/>
      <c r="AL51" s="380"/>
      <c r="AM51" s="380"/>
      <c r="AN51" s="380"/>
    </row>
    <row r="52" spans="32:40" ht="15" x14ac:dyDescent="0.25">
      <c r="AF52" s="380"/>
      <c r="AG52" s="380"/>
      <c r="AH52" s="380"/>
      <c r="AI52" s="380"/>
      <c r="AJ52" s="380"/>
      <c r="AK52" s="380"/>
      <c r="AL52" s="380"/>
      <c r="AM52" s="380"/>
      <c r="AN52" s="380"/>
    </row>
    <row r="53" spans="32:40" ht="15" x14ac:dyDescent="0.25">
      <c r="AF53" s="380"/>
      <c r="AG53" s="380"/>
      <c r="AH53" s="380"/>
      <c r="AI53" s="380"/>
      <c r="AJ53" s="380"/>
      <c r="AK53" s="380"/>
      <c r="AL53" s="380"/>
      <c r="AM53" s="380"/>
      <c r="AN53" s="380"/>
    </row>
    <row r="54" spans="32:40" ht="15" x14ac:dyDescent="0.25">
      <c r="AF54" s="380"/>
      <c r="AG54" s="380"/>
      <c r="AH54" s="380"/>
      <c r="AI54" s="380"/>
      <c r="AJ54" s="380"/>
      <c r="AK54" s="380"/>
      <c r="AL54" s="380"/>
      <c r="AM54" s="380"/>
      <c r="AN54" s="380"/>
    </row>
    <row r="55" spans="32:40" ht="15" x14ac:dyDescent="0.25">
      <c r="AF55" s="380"/>
      <c r="AG55" s="380"/>
      <c r="AH55" s="380"/>
      <c r="AI55" s="380"/>
      <c r="AJ55" s="380"/>
      <c r="AK55" s="380"/>
      <c r="AL55" s="380"/>
      <c r="AM55" s="380"/>
      <c r="AN55" s="380"/>
    </row>
    <row r="56" spans="32:40" ht="15" x14ac:dyDescent="0.25">
      <c r="AF56" s="380"/>
      <c r="AG56" s="380"/>
      <c r="AH56" s="380"/>
      <c r="AI56" s="380"/>
      <c r="AJ56" s="380"/>
      <c r="AK56" s="380"/>
      <c r="AL56" s="380"/>
      <c r="AM56" s="380"/>
      <c r="AN56" s="380"/>
    </row>
    <row r="57" spans="32:40" ht="15" x14ac:dyDescent="0.25">
      <c r="AF57" s="380"/>
      <c r="AG57" s="380"/>
      <c r="AH57" s="380"/>
      <c r="AI57" s="380"/>
      <c r="AJ57" s="380"/>
      <c r="AK57" s="380"/>
      <c r="AL57" s="380"/>
      <c r="AM57" s="380"/>
      <c r="AN57" s="380"/>
    </row>
    <row r="58" spans="32:40" ht="15" x14ac:dyDescent="0.25">
      <c r="AF58" s="380"/>
      <c r="AG58" s="380"/>
      <c r="AH58" s="380"/>
      <c r="AI58" s="380"/>
      <c r="AJ58" s="380"/>
      <c r="AK58" s="380"/>
      <c r="AL58" s="380"/>
      <c r="AM58" s="380"/>
      <c r="AN58" s="380"/>
    </row>
    <row r="59" spans="32:40" ht="15" x14ac:dyDescent="0.25">
      <c r="AF59" s="380"/>
      <c r="AG59" s="380"/>
      <c r="AH59" s="380"/>
      <c r="AI59" s="380"/>
      <c r="AJ59" s="380"/>
      <c r="AK59" s="380"/>
      <c r="AL59" s="380"/>
      <c r="AM59" s="380"/>
      <c r="AN59" s="380"/>
    </row>
    <row r="60" spans="32:40" ht="15" x14ac:dyDescent="0.25">
      <c r="AF60" s="380"/>
      <c r="AG60" s="380"/>
      <c r="AH60" s="380"/>
      <c r="AI60" s="380"/>
      <c r="AJ60" s="380"/>
      <c r="AK60" s="380"/>
      <c r="AL60" s="380"/>
      <c r="AM60" s="380"/>
      <c r="AN60" s="380"/>
    </row>
    <row r="61" spans="32:40" ht="15" x14ac:dyDescent="0.25">
      <c r="AF61" s="380"/>
      <c r="AG61" s="380"/>
      <c r="AH61" s="380"/>
      <c r="AI61" s="380"/>
      <c r="AJ61" s="380"/>
      <c r="AK61" s="380"/>
      <c r="AL61" s="380"/>
      <c r="AM61" s="380"/>
      <c r="AN61" s="380"/>
    </row>
    <row r="62" spans="32:40" ht="15" x14ac:dyDescent="0.25">
      <c r="AF62" s="380"/>
      <c r="AG62" s="380"/>
      <c r="AH62" s="380"/>
      <c r="AI62" s="380"/>
      <c r="AJ62" s="380"/>
      <c r="AK62" s="380"/>
      <c r="AL62" s="380"/>
      <c r="AM62" s="380"/>
      <c r="AN62" s="380"/>
    </row>
    <row r="63" spans="32:40" ht="15" x14ac:dyDescent="0.25">
      <c r="AF63" s="380"/>
      <c r="AG63" s="380"/>
      <c r="AH63" s="380"/>
      <c r="AI63" s="380"/>
      <c r="AJ63" s="380"/>
      <c r="AK63" s="380"/>
      <c r="AL63" s="380"/>
      <c r="AM63" s="380"/>
      <c r="AN63" s="380"/>
    </row>
    <row r="64" spans="32:40" ht="15" x14ac:dyDescent="0.25">
      <c r="AF64" s="380"/>
      <c r="AG64" s="380"/>
      <c r="AH64" s="380"/>
      <c r="AI64" s="380"/>
      <c r="AJ64" s="380"/>
      <c r="AK64" s="380"/>
      <c r="AL64" s="380"/>
      <c r="AM64" s="380"/>
      <c r="AN64" s="380"/>
    </row>
    <row r="65" spans="32:40" ht="15" x14ac:dyDescent="0.25">
      <c r="AF65" s="380"/>
      <c r="AG65" s="380"/>
      <c r="AH65" s="380"/>
      <c r="AI65" s="380"/>
      <c r="AJ65" s="380"/>
      <c r="AK65" s="380"/>
      <c r="AL65" s="380"/>
      <c r="AM65" s="380"/>
      <c r="AN65" s="380"/>
    </row>
    <row r="66" spans="32:40" ht="15" x14ac:dyDescent="0.25">
      <c r="AF66" s="380"/>
      <c r="AG66" s="380"/>
      <c r="AH66" s="380"/>
      <c r="AI66" s="380"/>
      <c r="AJ66" s="380"/>
      <c r="AK66" s="380"/>
      <c r="AL66" s="380"/>
      <c r="AM66" s="380"/>
      <c r="AN66" s="380"/>
    </row>
    <row r="67" spans="32:40" ht="15" x14ac:dyDescent="0.25">
      <c r="AF67" s="380"/>
      <c r="AG67" s="380"/>
      <c r="AH67" s="380"/>
      <c r="AI67" s="380"/>
      <c r="AJ67" s="380"/>
      <c r="AK67" s="380"/>
      <c r="AL67" s="380"/>
      <c r="AM67" s="380"/>
      <c r="AN67" s="380"/>
    </row>
    <row r="68" spans="32:40" ht="15" x14ac:dyDescent="0.25">
      <c r="AF68" s="380"/>
      <c r="AG68" s="380"/>
      <c r="AH68" s="380"/>
      <c r="AI68" s="380"/>
      <c r="AJ68" s="380"/>
      <c r="AK68" s="380"/>
      <c r="AL68" s="380"/>
      <c r="AM68" s="380"/>
      <c r="AN68" s="380"/>
    </row>
    <row r="69" spans="32:40" ht="15" x14ac:dyDescent="0.25">
      <c r="AF69" s="380"/>
      <c r="AG69" s="380"/>
      <c r="AH69" s="380"/>
      <c r="AI69" s="380"/>
      <c r="AJ69" s="380"/>
      <c r="AK69" s="380"/>
      <c r="AL69" s="380"/>
      <c r="AM69" s="380"/>
      <c r="AN69" s="380"/>
    </row>
    <row r="70" spans="32:40" ht="15" x14ac:dyDescent="0.25">
      <c r="AF70" s="380"/>
      <c r="AG70" s="380"/>
      <c r="AH70" s="380"/>
      <c r="AI70" s="380"/>
      <c r="AJ70" s="380"/>
      <c r="AK70" s="380"/>
      <c r="AL70" s="380"/>
      <c r="AM70" s="380"/>
      <c r="AN70" s="380"/>
    </row>
    <row r="71" spans="32:40" ht="15" x14ac:dyDescent="0.25">
      <c r="AF71" s="380"/>
      <c r="AG71" s="380"/>
      <c r="AH71" s="380"/>
      <c r="AI71" s="380"/>
      <c r="AJ71" s="380"/>
      <c r="AK71" s="380"/>
      <c r="AL71" s="380"/>
      <c r="AM71" s="380"/>
      <c r="AN71" s="380"/>
    </row>
    <row r="72" spans="32:40" ht="15" x14ac:dyDescent="0.25">
      <c r="AF72" s="380"/>
      <c r="AG72" s="380"/>
      <c r="AH72" s="380"/>
      <c r="AI72" s="380"/>
      <c r="AJ72" s="380"/>
      <c r="AK72" s="380"/>
      <c r="AL72" s="380"/>
      <c r="AM72" s="380"/>
      <c r="AN72" s="380"/>
    </row>
    <row r="73" spans="32:40" ht="15" x14ac:dyDescent="0.25">
      <c r="AF73" s="380"/>
      <c r="AG73" s="380"/>
      <c r="AH73" s="380"/>
      <c r="AI73" s="380"/>
      <c r="AJ73" s="380"/>
      <c r="AK73" s="380"/>
      <c r="AL73" s="380"/>
      <c r="AM73" s="380"/>
      <c r="AN73" s="380"/>
    </row>
    <row r="74" spans="32:40" ht="15" x14ac:dyDescent="0.25">
      <c r="AF74" s="380"/>
      <c r="AG74" s="380"/>
      <c r="AH74" s="380"/>
      <c r="AI74" s="380"/>
      <c r="AJ74" s="380"/>
      <c r="AK74" s="380"/>
      <c r="AL74" s="380"/>
      <c r="AM74" s="380"/>
      <c r="AN74" s="380"/>
    </row>
    <row r="75" spans="32:40" ht="15" x14ac:dyDescent="0.25">
      <c r="AF75" s="380"/>
      <c r="AG75" s="380"/>
      <c r="AH75" s="380"/>
      <c r="AI75" s="380"/>
      <c r="AJ75" s="380"/>
      <c r="AK75" s="380"/>
      <c r="AL75" s="380"/>
      <c r="AM75" s="380"/>
      <c r="AN75" s="380"/>
    </row>
    <row r="76" spans="32:40" ht="15" x14ac:dyDescent="0.25">
      <c r="AF76" s="380"/>
      <c r="AG76" s="380"/>
      <c r="AH76" s="380"/>
      <c r="AI76" s="380"/>
      <c r="AJ76" s="380"/>
      <c r="AK76" s="380"/>
      <c r="AL76" s="380"/>
      <c r="AM76" s="380"/>
      <c r="AN76" s="380"/>
    </row>
    <row r="77" spans="32:40" ht="15" x14ac:dyDescent="0.25">
      <c r="AF77" s="380"/>
      <c r="AG77" s="380"/>
      <c r="AH77" s="380"/>
      <c r="AI77" s="380"/>
      <c r="AJ77" s="380"/>
      <c r="AK77" s="380"/>
      <c r="AL77" s="380"/>
      <c r="AM77" s="380"/>
      <c r="AN77" s="380"/>
    </row>
    <row r="78" spans="32:40" ht="15" x14ac:dyDescent="0.25">
      <c r="AF78" s="380"/>
      <c r="AG78" s="380"/>
      <c r="AH78" s="380"/>
      <c r="AI78" s="380"/>
      <c r="AJ78" s="380"/>
      <c r="AK78" s="380"/>
      <c r="AL78" s="380"/>
      <c r="AM78" s="380"/>
      <c r="AN78" s="380"/>
    </row>
    <row r="79" spans="32:40" ht="15" x14ac:dyDescent="0.25">
      <c r="AF79" s="380"/>
      <c r="AG79" s="380"/>
      <c r="AH79" s="380"/>
      <c r="AI79" s="380"/>
      <c r="AJ79" s="380"/>
      <c r="AK79" s="380"/>
      <c r="AL79" s="380"/>
      <c r="AM79" s="380"/>
      <c r="AN79" s="380"/>
    </row>
    <row r="80" spans="32:40" ht="15" x14ac:dyDescent="0.25">
      <c r="AF80" s="380"/>
      <c r="AG80" s="380"/>
      <c r="AH80" s="380"/>
      <c r="AI80" s="380"/>
      <c r="AJ80" s="380"/>
      <c r="AK80" s="380"/>
      <c r="AL80" s="380"/>
      <c r="AM80" s="380"/>
      <c r="AN80" s="380"/>
    </row>
    <row r="81" spans="32:40" ht="15" x14ac:dyDescent="0.25">
      <c r="AF81" s="380"/>
      <c r="AG81" s="380"/>
      <c r="AH81" s="380"/>
      <c r="AI81" s="380"/>
      <c r="AJ81" s="380"/>
      <c r="AK81" s="380"/>
      <c r="AL81" s="380"/>
      <c r="AM81" s="380"/>
      <c r="AN81" s="380"/>
    </row>
    <row r="82" spans="32:40" ht="15" x14ac:dyDescent="0.25">
      <c r="AF82" s="380"/>
      <c r="AG82" s="380"/>
      <c r="AH82" s="380"/>
      <c r="AI82" s="380"/>
      <c r="AJ82" s="380"/>
      <c r="AK82" s="380"/>
      <c r="AL82" s="380"/>
      <c r="AM82" s="380"/>
      <c r="AN82" s="380"/>
    </row>
    <row r="83" spans="32:40" ht="15" x14ac:dyDescent="0.25">
      <c r="AF83" s="380"/>
      <c r="AG83" s="380"/>
      <c r="AH83" s="380"/>
      <c r="AI83" s="380"/>
      <c r="AJ83" s="380"/>
      <c r="AK83" s="380"/>
      <c r="AL83" s="380"/>
      <c r="AM83" s="380"/>
      <c r="AN83" s="380"/>
    </row>
    <row r="84" spans="32:40" ht="15" x14ac:dyDescent="0.25">
      <c r="AF84" s="380"/>
      <c r="AG84" s="380"/>
      <c r="AH84" s="380"/>
      <c r="AI84" s="380"/>
      <c r="AJ84" s="380"/>
      <c r="AK84" s="380"/>
      <c r="AL84" s="380"/>
      <c r="AM84" s="380"/>
      <c r="AN84" s="380"/>
    </row>
    <row r="85" spans="32:40" ht="15" x14ac:dyDescent="0.25">
      <c r="AF85" s="380"/>
      <c r="AG85" s="380"/>
      <c r="AH85" s="380"/>
      <c r="AI85" s="380"/>
      <c r="AJ85" s="380"/>
      <c r="AK85" s="380"/>
      <c r="AL85" s="380"/>
      <c r="AM85" s="380"/>
      <c r="AN85" s="380"/>
    </row>
    <row r="86" spans="32:40" ht="15" x14ac:dyDescent="0.25">
      <c r="AF86" s="380"/>
      <c r="AG86" s="380"/>
      <c r="AH86" s="380"/>
      <c r="AI86" s="380"/>
      <c r="AJ86" s="380"/>
      <c r="AK86" s="380"/>
      <c r="AL86" s="380"/>
      <c r="AM86" s="380"/>
      <c r="AN86" s="380"/>
    </row>
    <row r="87" spans="32:40" ht="15" x14ac:dyDescent="0.25">
      <c r="AF87" s="380"/>
      <c r="AG87" s="380"/>
      <c r="AH87" s="380"/>
      <c r="AI87" s="380"/>
      <c r="AJ87" s="380"/>
      <c r="AK87" s="380"/>
      <c r="AL87" s="380"/>
      <c r="AM87" s="380"/>
      <c r="AN87" s="380"/>
    </row>
    <row r="88" spans="32:40" ht="15" x14ac:dyDescent="0.25">
      <c r="AF88" s="380"/>
      <c r="AG88" s="380"/>
      <c r="AH88" s="380"/>
      <c r="AI88" s="380"/>
      <c r="AJ88" s="380"/>
      <c r="AK88" s="380"/>
      <c r="AL88" s="380"/>
      <c r="AM88" s="380"/>
      <c r="AN88" s="380"/>
    </row>
    <row r="89" spans="32:40" ht="15" x14ac:dyDescent="0.25">
      <c r="AF89" s="380"/>
      <c r="AG89" s="380"/>
      <c r="AH89" s="380"/>
      <c r="AI89" s="380"/>
      <c r="AJ89" s="380"/>
      <c r="AK89" s="380"/>
      <c r="AL89" s="380"/>
      <c r="AM89" s="380"/>
      <c r="AN89" s="380"/>
    </row>
    <row r="90" spans="32:40" ht="15" x14ac:dyDescent="0.25">
      <c r="AF90" s="380"/>
      <c r="AG90" s="380"/>
      <c r="AH90" s="380"/>
      <c r="AI90" s="380"/>
      <c r="AJ90" s="380"/>
      <c r="AK90" s="380"/>
      <c r="AL90" s="380"/>
      <c r="AM90" s="380"/>
      <c r="AN90" s="380"/>
    </row>
    <row r="91" spans="32:40" ht="15" x14ac:dyDescent="0.25">
      <c r="AF91" s="380"/>
      <c r="AG91" s="380"/>
      <c r="AH91" s="380"/>
      <c r="AI91" s="380"/>
      <c r="AJ91" s="380"/>
      <c r="AK91" s="380"/>
      <c r="AL91" s="380"/>
      <c r="AM91" s="380"/>
      <c r="AN91" s="380"/>
    </row>
    <row r="92" spans="32:40" ht="15" x14ac:dyDescent="0.25">
      <c r="AF92" s="380"/>
      <c r="AG92" s="380"/>
      <c r="AH92" s="380"/>
      <c r="AI92" s="380"/>
      <c r="AJ92" s="380"/>
      <c r="AK92" s="380"/>
      <c r="AL92" s="380"/>
      <c r="AM92" s="380"/>
      <c r="AN92" s="380"/>
    </row>
    <row r="93" spans="32:40" ht="15" x14ac:dyDescent="0.25">
      <c r="AF93" s="380"/>
      <c r="AG93" s="380"/>
      <c r="AH93" s="380"/>
      <c r="AI93" s="380"/>
      <c r="AJ93" s="380"/>
      <c r="AK93" s="380"/>
      <c r="AL93" s="380"/>
      <c r="AM93" s="380"/>
      <c r="AN93" s="380"/>
    </row>
    <row r="94" spans="32:40" ht="15" x14ac:dyDescent="0.25">
      <c r="AF94" s="380"/>
      <c r="AG94" s="380"/>
      <c r="AH94" s="380"/>
      <c r="AI94" s="380"/>
      <c r="AJ94" s="380"/>
      <c r="AK94" s="380"/>
      <c r="AL94" s="380"/>
      <c r="AM94" s="380"/>
      <c r="AN94" s="380"/>
    </row>
    <row r="95" spans="32:40" ht="15" x14ac:dyDescent="0.25">
      <c r="AF95" s="380"/>
      <c r="AG95" s="380"/>
      <c r="AH95" s="380"/>
      <c r="AI95" s="380"/>
      <c r="AJ95" s="380"/>
      <c r="AK95" s="380"/>
      <c r="AL95" s="380"/>
      <c r="AM95" s="380"/>
      <c r="AN95" s="380"/>
    </row>
    <row r="96" spans="32:40" ht="15" x14ac:dyDescent="0.25">
      <c r="AF96" s="380"/>
      <c r="AG96" s="380"/>
      <c r="AH96" s="380"/>
      <c r="AI96" s="380"/>
      <c r="AJ96" s="380"/>
      <c r="AK96" s="380"/>
      <c r="AL96" s="380"/>
      <c r="AM96" s="380"/>
      <c r="AN96" s="380"/>
    </row>
    <row r="97" spans="32:40" ht="15" x14ac:dyDescent="0.25">
      <c r="AF97" s="380"/>
      <c r="AG97" s="380"/>
      <c r="AH97" s="380"/>
      <c r="AI97" s="380"/>
      <c r="AJ97" s="380"/>
      <c r="AK97" s="380"/>
      <c r="AL97" s="380"/>
      <c r="AM97" s="380"/>
      <c r="AN97" s="380"/>
    </row>
    <row r="98" spans="32:40" ht="15" x14ac:dyDescent="0.25">
      <c r="AF98" s="380"/>
      <c r="AG98" s="380"/>
      <c r="AH98" s="380"/>
      <c r="AI98" s="380"/>
      <c r="AJ98" s="380"/>
      <c r="AK98" s="380"/>
      <c r="AL98" s="380"/>
      <c r="AM98" s="380"/>
      <c r="AN98" s="380"/>
    </row>
    <row r="99" spans="32:40" ht="15" x14ac:dyDescent="0.25">
      <c r="AF99" s="380"/>
      <c r="AG99" s="380"/>
      <c r="AH99" s="380"/>
      <c r="AI99" s="380"/>
      <c r="AJ99" s="380"/>
      <c r="AK99" s="380"/>
      <c r="AL99" s="380"/>
      <c r="AM99" s="380"/>
      <c r="AN99" s="380"/>
    </row>
    <row r="100" spans="32:40" ht="15" x14ac:dyDescent="0.25">
      <c r="AF100" s="380"/>
      <c r="AG100" s="380"/>
      <c r="AH100" s="380"/>
      <c r="AI100" s="380"/>
      <c r="AJ100" s="380"/>
      <c r="AK100" s="380"/>
      <c r="AL100" s="380"/>
      <c r="AM100" s="380"/>
      <c r="AN100" s="380"/>
    </row>
    <row r="101" spans="32:40" ht="15" x14ac:dyDescent="0.25">
      <c r="AF101" s="380"/>
      <c r="AG101" s="380"/>
      <c r="AH101" s="380"/>
      <c r="AI101" s="380"/>
      <c r="AJ101" s="380"/>
      <c r="AK101" s="380"/>
      <c r="AL101" s="380"/>
      <c r="AM101" s="380"/>
      <c r="AN101" s="380"/>
    </row>
    <row r="102" spans="32:40" ht="15" x14ac:dyDescent="0.25">
      <c r="AF102" s="380"/>
      <c r="AG102" s="380"/>
      <c r="AH102" s="380"/>
      <c r="AI102" s="380"/>
      <c r="AJ102" s="380"/>
      <c r="AK102" s="380"/>
      <c r="AL102" s="380"/>
      <c r="AM102" s="380"/>
      <c r="AN102" s="380"/>
    </row>
    <row r="103" spans="32:40" ht="15" x14ac:dyDescent="0.25">
      <c r="AF103" s="380"/>
      <c r="AG103" s="380"/>
      <c r="AH103" s="380"/>
      <c r="AI103" s="380"/>
      <c r="AJ103" s="380"/>
      <c r="AK103" s="380"/>
      <c r="AL103" s="380"/>
      <c r="AM103" s="380"/>
      <c r="AN103" s="380"/>
    </row>
    <row r="104" spans="32:40" ht="15" x14ac:dyDescent="0.25">
      <c r="AF104" s="380"/>
      <c r="AG104" s="380"/>
      <c r="AH104" s="380"/>
      <c r="AI104" s="380"/>
      <c r="AJ104" s="380"/>
      <c r="AK104" s="380"/>
      <c r="AL104" s="380"/>
      <c r="AM104" s="380"/>
      <c r="AN104" s="380"/>
    </row>
    <row r="105" spans="32:40" ht="15" x14ac:dyDescent="0.25">
      <c r="AF105" s="380"/>
      <c r="AG105" s="380"/>
      <c r="AH105" s="380"/>
      <c r="AI105" s="380"/>
      <c r="AJ105" s="380"/>
      <c r="AK105" s="380"/>
      <c r="AL105" s="380"/>
      <c r="AM105" s="380"/>
      <c r="AN105" s="380"/>
    </row>
    <row r="106" spans="32:40" ht="15" x14ac:dyDescent="0.25">
      <c r="AF106" s="380"/>
      <c r="AG106" s="380"/>
      <c r="AH106" s="380"/>
      <c r="AI106" s="380"/>
      <c r="AJ106" s="380"/>
      <c r="AK106" s="380"/>
      <c r="AL106" s="380"/>
      <c r="AM106" s="380"/>
      <c r="AN106" s="380"/>
    </row>
    <row r="107" spans="32:40" ht="15" x14ac:dyDescent="0.25">
      <c r="AF107" s="380"/>
      <c r="AG107" s="380"/>
      <c r="AH107" s="380"/>
      <c r="AI107" s="380"/>
      <c r="AJ107" s="380"/>
      <c r="AK107" s="380"/>
      <c r="AL107" s="380"/>
      <c r="AM107" s="380"/>
      <c r="AN107" s="380"/>
    </row>
    <row r="108" spans="32:40" ht="15" x14ac:dyDescent="0.25">
      <c r="AF108" s="380"/>
      <c r="AG108" s="380"/>
      <c r="AH108" s="380"/>
      <c r="AI108" s="380"/>
      <c r="AJ108" s="380"/>
      <c r="AK108" s="380"/>
      <c r="AL108" s="380"/>
      <c r="AM108" s="380"/>
      <c r="AN108" s="380"/>
    </row>
    <row r="109" spans="32:40" ht="15" x14ac:dyDescent="0.25">
      <c r="AF109" s="380"/>
      <c r="AG109" s="380"/>
      <c r="AH109" s="380"/>
      <c r="AI109" s="380"/>
      <c r="AJ109" s="380"/>
      <c r="AK109" s="380"/>
      <c r="AL109" s="380"/>
      <c r="AM109" s="380"/>
      <c r="AN109" s="380"/>
    </row>
    <row r="110" spans="32:40" ht="15" x14ac:dyDescent="0.25">
      <c r="AF110" s="380"/>
      <c r="AG110" s="380"/>
      <c r="AH110" s="380"/>
      <c r="AI110" s="380"/>
      <c r="AJ110" s="380"/>
      <c r="AK110" s="380"/>
      <c r="AL110" s="380"/>
      <c r="AM110" s="380"/>
      <c r="AN110" s="380"/>
    </row>
    <row r="111" spans="32:40" ht="15" x14ac:dyDescent="0.25">
      <c r="AF111" s="380"/>
      <c r="AG111" s="380"/>
      <c r="AH111" s="380"/>
      <c r="AI111" s="380"/>
      <c r="AJ111" s="380"/>
      <c r="AK111" s="380"/>
      <c r="AL111" s="380"/>
      <c r="AM111" s="380"/>
      <c r="AN111" s="380"/>
    </row>
    <row r="112" spans="32:40" ht="15" x14ac:dyDescent="0.25">
      <c r="AF112" s="380"/>
      <c r="AG112" s="380"/>
      <c r="AH112" s="380"/>
      <c r="AI112" s="380"/>
      <c r="AJ112" s="380"/>
      <c r="AK112" s="380"/>
      <c r="AL112" s="380"/>
      <c r="AM112" s="380"/>
      <c r="AN112" s="380"/>
    </row>
  </sheetData>
  <conditionalFormatting sqref="L14:R18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6:R10">
    <cfRule type="colorScale" priority="20">
      <colorScale>
        <cfvo type="min"/>
        <cfvo type="max"/>
        <color rgb="FF63BE7B"/>
        <color rgb="FFFCFCFF"/>
      </colorScale>
    </cfRule>
  </conditionalFormatting>
  <conditionalFormatting sqref="L22:R26">
    <cfRule type="colorScale" priority="19">
      <colorScale>
        <cfvo type="min"/>
        <cfvo type="max"/>
        <color rgb="FFFCFCFF"/>
        <color rgb="FFF8696B"/>
      </colorScale>
    </cfRule>
  </conditionalFormatting>
  <conditionalFormatting sqref="L30:R34">
    <cfRule type="colorScale" priority="18">
      <colorScale>
        <cfvo type="min"/>
        <cfvo type="max"/>
        <color rgb="FFFCFCFF"/>
        <color rgb="FFF8696B"/>
      </colorScale>
    </cfRule>
  </conditionalFormatting>
  <conditionalFormatting sqref="L38:R42">
    <cfRule type="colorScale" priority="17">
      <colorScale>
        <cfvo type="min"/>
        <cfvo type="max"/>
        <color rgb="FFFCFCFF"/>
        <color rgb="FFF8696B"/>
      </colorScale>
    </cfRule>
  </conditionalFormatting>
  <conditionalFormatting sqref="U14:AA1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6:AA10">
    <cfRule type="colorScale" priority="15">
      <colorScale>
        <cfvo type="min"/>
        <cfvo type="max"/>
        <color rgb="FF63BE7B"/>
        <color rgb="FFFCFCFF"/>
      </colorScale>
    </cfRule>
  </conditionalFormatting>
  <conditionalFormatting sqref="U22:AA26">
    <cfRule type="colorScale" priority="14">
      <colorScale>
        <cfvo type="min"/>
        <cfvo type="max"/>
        <color rgb="FFFCFCFF"/>
        <color rgb="FFF8696B"/>
      </colorScale>
    </cfRule>
  </conditionalFormatting>
  <conditionalFormatting sqref="U30:AA34">
    <cfRule type="colorScale" priority="13">
      <colorScale>
        <cfvo type="min"/>
        <cfvo type="max"/>
        <color rgb="FFFCFCFF"/>
        <color rgb="FFF8696B"/>
      </colorScale>
    </cfRule>
  </conditionalFormatting>
  <conditionalFormatting sqref="U38:AA42">
    <cfRule type="colorScale" priority="12">
      <colorScale>
        <cfvo type="min"/>
        <cfvo type="max"/>
        <color rgb="FFFCFCFF"/>
        <color rgb="FFF8696B"/>
      </colorScale>
    </cfRule>
  </conditionalFormatting>
  <conditionalFormatting sqref="AG6:AN11">
    <cfRule type="colorScale" priority="11">
      <colorScale>
        <cfvo type="min"/>
        <cfvo type="max"/>
        <color rgb="FF63BE7B"/>
        <color rgb="FFFCFCFF"/>
      </colorScale>
    </cfRule>
  </conditionalFormatting>
  <conditionalFormatting sqref="AG42:AN47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AG15:AN20">
    <cfRule type="colorScale" priority="7">
      <colorScale>
        <cfvo type="min"/>
        <cfvo type="max"/>
        <color theme="0"/>
        <color rgb="FFFF5050"/>
      </colorScale>
    </cfRule>
  </conditionalFormatting>
  <conditionalFormatting sqref="AG24:AN29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AG33:AN38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ageMargins left="0.25" right="0.25" top="0.75" bottom="0.75" header="0.3" footer="0.3"/>
  <pageSetup paperSize="9" scale="66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5FB4-307C-4E39-8EEA-625FC877E4FE}">
  <sheetPr codeName="Sheet7">
    <pageSetUpPr fitToPage="1"/>
  </sheetPr>
  <dimension ref="B2:S49"/>
  <sheetViews>
    <sheetView showGridLines="0" zoomScaleNormal="100" workbookViewId="0">
      <selection activeCell="N37" sqref="N37"/>
    </sheetView>
  </sheetViews>
  <sheetFormatPr defaultRowHeight="15" x14ac:dyDescent="0.25"/>
  <cols>
    <col min="1" max="1" width="3.7109375" customWidth="1"/>
  </cols>
  <sheetData>
    <row r="2" spans="2:19" s="380" customFormat="1" ht="15.75" thickBot="1" x14ac:dyDescent="0.3">
      <c r="B2" s="952" t="s">
        <v>764</v>
      </c>
      <c r="C2" s="952"/>
      <c r="D2" s="952"/>
      <c r="E2" s="952"/>
      <c r="F2" s="952"/>
      <c r="G2" s="952"/>
      <c r="H2" s="952"/>
      <c r="I2" s="952"/>
      <c r="K2" s="952" t="s">
        <v>763</v>
      </c>
      <c r="L2" s="952"/>
      <c r="M2" s="952"/>
      <c r="N2" s="952"/>
      <c r="O2" s="952"/>
      <c r="P2" s="952"/>
      <c r="Q2" s="952"/>
      <c r="R2" s="952"/>
      <c r="S2" s="952"/>
    </row>
    <row r="3" spans="2:19" s="380" customFormat="1" ht="15.75" thickTop="1" x14ac:dyDescent="0.25"/>
    <row r="4" spans="2:19" ht="21" x14ac:dyDescent="0.25">
      <c r="B4" s="950" t="s">
        <v>760</v>
      </c>
      <c r="C4" s="948"/>
      <c r="D4" s="948"/>
      <c r="E4" s="948"/>
      <c r="F4" s="380"/>
      <c r="G4" s="951" t="s">
        <v>761</v>
      </c>
      <c r="H4" s="949"/>
      <c r="I4" s="949"/>
      <c r="J4" s="380"/>
      <c r="K4" s="950" t="s">
        <v>760</v>
      </c>
      <c r="L4" s="948"/>
      <c r="M4" s="948"/>
      <c r="N4" s="948"/>
      <c r="O4" s="380"/>
      <c r="P4" s="951" t="s">
        <v>761</v>
      </c>
      <c r="Q4" s="949"/>
      <c r="R4" s="949"/>
      <c r="S4" s="949"/>
    </row>
    <row r="5" spans="2:19" ht="15.75" thickBot="1" x14ac:dyDescent="0.3">
      <c r="B5" s="1"/>
      <c r="C5" s="1"/>
      <c r="D5" s="1"/>
      <c r="E5" s="1"/>
      <c r="F5" s="1"/>
      <c r="G5" s="1"/>
      <c r="H5" s="1"/>
      <c r="I5" s="1"/>
      <c r="J5" s="1"/>
      <c r="K5" s="380"/>
      <c r="L5" s="380"/>
      <c r="M5" s="380"/>
      <c r="N5" s="380"/>
      <c r="O5" s="380"/>
      <c r="P5" s="380"/>
      <c r="Q5" s="380"/>
      <c r="R5" s="380"/>
      <c r="S5" s="380"/>
    </row>
    <row r="6" spans="2:19" x14ac:dyDescent="0.25">
      <c r="B6" s="570" t="s">
        <v>57</v>
      </c>
      <c r="C6" s="571" t="s">
        <v>58</v>
      </c>
      <c r="D6" s="572"/>
      <c r="E6" s="573"/>
      <c r="F6" s="573"/>
      <c r="G6" s="573"/>
      <c r="H6" s="573"/>
      <c r="I6" s="574"/>
      <c r="J6" s="1"/>
      <c r="K6" s="570" t="s">
        <v>57</v>
      </c>
      <c r="L6" s="571" t="s">
        <v>58</v>
      </c>
      <c r="M6" s="572"/>
      <c r="N6" s="573"/>
      <c r="O6" s="573"/>
      <c r="P6" s="573"/>
      <c r="Q6" s="573"/>
      <c r="R6" s="573"/>
      <c r="S6" s="574"/>
    </row>
    <row r="7" spans="2:19" x14ac:dyDescent="0.25">
      <c r="B7" s="575" t="s">
        <v>59</v>
      </c>
      <c r="C7" s="576">
        <v>30</v>
      </c>
      <c r="D7" s="576">
        <v>40</v>
      </c>
      <c r="E7" s="576">
        <v>50</v>
      </c>
      <c r="F7" s="576">
        <v>60</v>
      </c>
      <c r="G7" s="576">
        <v>70</v>
      </c>
      <c r="H7" s="576">
        <v>80</v>
      </c>
      <c r="I7" s="577">
        <v>90</v>
      </c>
      <c r="J7" s="1"/>
      <c r="K7" s="575" t="s">
        <v>59</v>
      </c>
      <c r="L7" s="576">
        <v>30</v>
      </c>
      <c r="M7" s="576">
        <v>40</v>
      </c>
      <c r="N7" s="576">
        <v>50</v>
      </c>
      <c r="O7" s="576">
        <v>60</v>
      </c>
      <c r="P7" s="576">
        <v>70</v>
      </c>
      <c r="Q7" s="576">
        <v>80</v>
      </c>
      <c r="R7" s="576">
        <v>90</v>
      </c>
      <c r="S7" s="577">
        <v>100</v>
      </c>
    </row>
    <row r="8" spans="2:19" x14ac:dyDescent="0.25">
      <c r="B8" s="578">
        <v>30</v>
      </c>
      <c r="C8" s="579">
        <v>0.99099999999999999</v>
      </c>
      <c r="D8" s="579">
        <v>1.0209999999999999</v>
      </c>
      <c r="E8" s="579">
        <v>1.052</v>
      </c>
      <c r="F8" s="579">
        <v>1.079</v>
      </c>
      <c r="G8" s="579">
        <v>1.105</v>
      </c>
      <c r="H8" s="579">
        <v>1.117</v>
      </c>
      <c r="I8" s="580">
        <v>1.1399999999999999</v>
      </c>
      <c r="J8" s="1"/>
      <c r="K8" s="578">
        <v>30</v>
      </c>
      <c r="L8" s="579">
        <v>1.0301230593314969</v>
      </c>
      <c r="M8" s="579">
        <v>1.048665219221969</v>
      </c>
      <c r="N8" s="579">
        <v>1.0722025125104937</v>
      </c>
      <c r="O8" s="579">
        <v>1.0975615636993075</v>
      </c>
      <c r="P8" s="579">
        <v>1.1218513651959361</v>
      </c>
      <c r="Q8" s="579">
        <v>1.1432153953782405</v>
      </c>
      <c r="R8" s="579">
        <v>1.1606065502975755</v>
      </c>
      <c r="S8" s="580">
        <v>1.1729866078405919</v>
      </c>
    </row>
    <row r="9" spans="2:19" x14ac:dyDescent="0.25">
      <c r="B9" s="578">
        <v>40</v>
      </c>
      <c r="C9" s="579">
        <v>0.999</v>
      </c>
      <c r="D9" s="579">
        <v>1.042</v>
      </c>
      <c r="E9" s="579">
        <v>1.0669999999999999</v>
      </c>
      <c r="F9" s="579">
        <v>1.0840000000000001</v>
      </c>
      <c r="G9" s="579">
        <v>1.101</v>
      </c>
      <c r="H9" s="579">
        <v>1.1160000000000001</v>
      </c>
      <c r="I9" s="580">
        <v>1.145</v>
      </c>
      <c r="J9" s="1"/>
      <c r="K9" s="578">
        <v>40</v>
      </c>
      <c r="L9" s="579">
        <v>1.032144373940624</v>
      </c>
      <c r="M9" s="579">
        <v>1.052899179773928</v>
      </c>
      <c r="N9" s="579">
        <v>1.076094370852037</v>
      </c>
      <c r="O9" s="579">
        <v>1.098797540667644</v>
      </c>
      <c r="P9" s="579">
        <v>1.1194877727390988</v>
      </c>
      <c r="Q9" s="579">
        <v>1.138105277525526</v>
      </c>
      <c r="R9" s="579">
        <v>1.1548957651409908</v>
      </c>
      <c r="S9" s="580">
        <v>1.1690172498887108</v>
      </c>
    </row>
    <row r="10" spans="2:19" x14ac:dyDescent="0.25">
      <c r="B10" s="578">
        <v>50</v>
      </c>
      <c r="C10" s="579">
        <v>0.999</v>
      </c>
      <c r="D10" s="579">
        <v>1.046</v>
      </c>
      <c r="E10" s="579">
        <v>1.075</v>
      </c>
      <c r="F10" s="579">
        <v>1.0940000000000001</v>
      </c>
      <c r="G10" s="579">
        <v>1.1180000000000001</v>
      </c>
      <c r="H10" s="579">
        <v>1.137</v>
      </c>
      <c r="I10" s="580">
        <v>1.155</v>
      </c>
      <c r="J10" s="1"/>
      <c r="K10" s="578">
        <v>50</v>
      </c>
      <c r="L10" s="579">
        <v>1.0359479117418096</v>
      </c>
      <c r="M10" s="579">
        <v>1.0591508706096102</v>
      </c>
      <c r="N10" s="579">
        <v>1.0827199710338462</v>
      </c>
      <c r="O10" s="579">
        <v>1.1038456261143155</v>
      </c>
      <c r="P10" s="579">
        <v>1.1218964909964826</v>
      </c>
      <c r="Q10" s="579">
        <v>1.1379356300557044</v>
      </c>
      <c r="R10" s="579">
        <v>1.1529917704788533</v>
      </c>
      <c r="S10" s="580">
        <v>1.1664074279313505</v>
      </c>
    </row>
    <row r="11" spans="2:19" x14ac:dyDescent="0.25">
      <c r="B11" s="578">
        <v>60</v>
      </c>
      <c r="C11" s="579">
        <v>0.99799999999999989</v>
      </c>
      <c r="D11" s="579">
        <v>1.0409999999999999</v>
      </c>
      <c r="E11" s="579">
        <v>1.069</v>
      </c>
      <c r="F11" s="579">
        <v>1.093</v>
      </c>
      <c r="G11" s="579">
        <v>1.115</v>
      </c>
      <c r="H11" s="579">
        <v>1.135</v>
      </c>
      <c r="I11" s="580">
        <v>1.1559999999999999</v>
      </c>
      <c r="J11" s="1"/>
      <c r="K11" s="578">
        <v>60</v>
      </c>
      <c r="L11" s="579">
        <v>1.0376206995929691</v>
      </c>
      <c r="M11" s="579">
        <v>1.0618649397730591</v>
      </c>
      <c r="N11" s="579">
        <v>1.0858893890362782</v>
      </c>
      <c r="O11" s="579">
        <v>1.1069769079138576</v>
      </c>
      <c r="P11" s="579">
        <v>1.1246445325695331</v>
      </c>
      <c r="Q11" s="579">
        <v>1.1399723798668342</v>
      </c>
      <c r="R11" s="579">
        <v>1.1538670045797366</v>
      </c>
      <c r="S11" s="580">
        <v>1.1655957661480603</v>
      </c>
    </row>
    <row r="12" spans="2:19" ht="15.75" thickBot="1" x14ac:dyDescent="0.3">
      <c r="B12" s="581">
        <v>70</v>
      </c>
      <c r="C12" s="582">
        <v>0.98999999999999988</v>
      </c>
      <c r="D12" s="582">
        <v>1.036</v>
      </c>
      <c r="E12" s="582">
        <v>1.0669999999999999</v>
      </c>
      <c r="F12" s="582">
        <v>1.093</v>
      </c>
      <c r="G12" s="582">
        <v>1.1140000000000001</v>
      </c>
      <c r="H12" s="582">
        <v>1.1339999999999999</v>
      </c>
      <c r="I12" s="583">
        <v>1.1559999999999999</v>
      </c>
      <c r="J12" s="1"/>
      <c r="K12" s="578">
        <v>70</v>
      </c>
      <c r="L12" s="579">
        <v>1.0364775988713626</v>
      </c>
      <c r="M12" s="579">
        <v>1.0589379123658222</v>
      </c>
      <c r="N12" s="579">
        <v>1.081937575653479</v>
      </c>
      <c r="O12" s="579">
        <v>1.1030719132319349</v>
      </c>
      <c r="P12" s="579">
        <v>1.1215969389564664</v>
      </c>
      <c r="Q12" s="579">
        <v>1.1378397060198651</v>
      </c>
      <c r="R12" s="579">
        <v>1.1518767500941334</v>
      </c>
      <c r="S12" s="580">
        <v>1.1625658789128033</v>
      </c>
    </row>
    <row r="13" spans="2:19" ht="15.75" thickBot="1" x14ac:dyDescent="0.3">
      <c r="B13" s="584"/>
      <c r="C13" s="584"/>
      <c r="D13" s="584"/>
      <c r="E13" s="584"/>
      <c r="F13" s="584"/>
      <c r="G13" s="584"/>
      <c r="H13" s="584"/>
      <c r="I13" s="584"/>
      <c r="J13" s="1"/>
      <c r="K13" s="581">
        <v>80</v>
      </c>
      <c r="L13" s="582">
        <v>1.0357246917871077</v>
      </c>
      <c r="M13" s="582">
        <v>1.0539143912732976</v>
      </c>
      <c r="N13" s="582">
        <v>1.0737782402066403</v>
      </c>
      <c r="O13" s="582">
        <v>1.0935207472943587</v>
      </c>
      <c r="P13" s="582">
        <v>1.1121949482191809</v>
      </c>
      <c r="Q13" s="582">
        <v>1.1292756821444119</v>
      </c>
      <c r="R13" s="582">
        <v>1.1438681111935303</v>
      </c>
      <c r="S13" s="583">
        <v>1.1542953268031488</v>
      </c>
    </row>
    <row r="14" spans="2:19" ht="15.75" thickBot="1" x14ac:dyDescent="0.3">
      <c r="J14" s="1"/>
      <c r="K14" s="380"/>
      <c r="L14" s="380"/>
      <c r="M14" s="380"/>
      <c r="N14" s="380"/>
      <c r="O14" s="380"/>
      <c r="P14" s="380"/>
      <c r="Q14" s="380"/>
      <c r="R14" s="380"/>
      <c r="S14" s="380"/>
    </row>
    <row r="15" spans="2:19" x14ac:dyDescent="0.25">
      <c r="B15" s="570" t="s">
        <v>448</v>
      </c>
      <c r="C15" s="571" t="s">
        <v>58</v>
      </c>
      <c r="D15" s="572"/>
      <c r="E15" s="573"/>
      <c r="F15" s="573"/>
      <c r="G15" s="573"/>
      <c r="H15" s="573"/>
      <c r="I15" s="574"/>
      <c r="J15" s="1"/>
      <c r="K15" s="570" t="s">
        <v>448</v>
      </c>
      <c r="L15" s="571" t="s">
        <v>58</v>
      </c>
      <c r="M15" s="572"/>
      <c r="N15" s="573"/>
      <c r="O15" s="573"/>
      <c r="P15" s="573"/>
      <c r="Q15" s="573"/>
      <c r="R15" s="573"/>
      <c r="S15" s="574"/>
    </row>
    <row r="16" spans="2:19" x14ac:dyDescent="0.25">
      <c r="B16" s="575" t="s">
        <v>59</v>
      </c>
      <c r="C16" s="576">
        <v>30</v>
      </c>
      <c r="D16" s="576">
        <v>40</v>
      </c>
      <c r="E16" s="576">
        <v>50</v>
      </c>
      <c r="F16" s="576">
        <v>60</v>
      </c>
      <c r="G16" s="576">
        <v>70</v>
      </c>
      <c r="H16" s="576">
        <v>80</v>
      </c>
      <c r="I16" s="577">
        <v>90</v>
      </c>
      <c r="J16" s="1"/>
      <c r="K16" s="575" t="s">
        <v>59</v>
      </c>
      <c r="L16" s="576">
        <v>30</v>
      </c>
      <c r="M16" s="576">
        <v>40</v>
      </c>
      <c r="N16" s="576">
        <v>50</v>
      </c>
      <c r="O16" s="576">
        <v>60</v>
      </c>
      <c r="P16" s="576">
        <v>70</v>
      </c>
      <c r="Q16" s="576">
        <v>80</v>
      </c>
      <c r="R16" s="576">
        <v>90</v>
      </c>
      <c r="S16" s="577">
        <v>100</v>
      </c>
    </row>
    <row r="17" spans="2:19" x14ac:dyDescent="0.25">
      <c r="B17" s="578">
        <v>30</v>
      </c>
      <c r="C17" s="579">
        <v>1.696</v>
      </c>
      <c r="D17" s="579">
        <v>1.847</v>
      </c>
      <c r="E17" s="579">
        <v>1.98</v>
      </c>
      <c r="F17" s="579">
        <v>2.113</v>
      </c>
      <c r="G17" s="579">
        <v>2.2429999999999999</v>
      </c>
      <c r="H17" s="579">
        <v>2.37</v>
      </c>
      <c r="I17" s="580">
        <v>2.508</v>
      </c>
      <c r="J17" s="1"/>
      <c r="K17" s="578">
        <v>30</v>
      </c>
      <c r="L17" s="579">
        <v>1.8101191211465175</v>
      </c>
      <c r="M17" s="579">
        <v>1.9444399955914125</v>
      </c>
      <c r="N17" s="579">
        <v>2.0847558522588905</v>
      </c>
      <c r="O17" s="579">
        <v>2.2219646137145581</v>
      </c>
      <c r="P17" s="579">
        <v>2.350354884143639</v>
      </c>
      <c r="Q17" s="579">
        <v>2.4656376705182343</v>
      </c>
      <c r="R17" s="579">
        <v>2.5600189727010458</v>
      </c>
      <c r="S17" s="580">
        <v>2.6190354151983417</v>
      </c>
    </row>
    <row r="18" spans="2:19" x14ac:dyDescent="0.25">
      <c r="B18" s="578">
        <v>40</v>
      </c>
      <c r="C18" s="579">
        <v>1.3660000000000001</v>
      </c>
      <c r="D18" s="579">
        <v>1.5489999999999999</v>
      </c>
      <c r="E18" s="579">
        <v>1.6679999999999999</v>
      </c>
      <c r="F18" s="579">
        <v>1.7669999999999999</v>
      </c>
      <c r="G18" s="579">
        <v>1.8939999999999999</v>
      </c>
      <c r="H18" s="579">
        <v>2.0419999999999998</v>
      </c>
      <c r="I18" s="580">
        <v>2.181</v>
      </c>
      <c r="J18" s="1"/>
      <c r="K18" s="578">
        <v>40</v>
      </c>
      <c r="L18" s="579">
        <v>1.5501944838151862</v>
      </c>
      <c r="M18" s="579">
        <v>1.6787490303087256</v>
      </c>
      <c r="N18" s="579">
        <v>1.8164214237073641</v>
      </c>
      <c r="O18" s="579">
        <v>1.9523195633477728</v>
      </c>
      <c r="P18" s="579">
        <v>2.0824064855867017</v>
      </c>
      <c r="Q18" s="579">
        <v>2.2062051651705037</v>
      </c>
      <c r="R18" s="579">
        <v>2.318996783821786</v>
      </c>
      <c r="S18" s="580">
        <v>2.4063701372309261</v>
      </c>
    </row>
    <row r="19" spans="2:19" x14ac:dyDescent="0.25">
      <c r="B19" s="578">
        <v>50</v>
      </c>
      <c r="C19" s="579">
        <v>1.0840000000000001</v>
      </c>
      <c r="D19" s="579">
        <v>1.2849999999999999</v>
      </c>
      <c r="E19" s="579">
        <v>1.43</v>
      </c>
      <c r="F19" s="579">
        <v>1.5469999999999999</v>
      </c>
      <c r="G19" s="579">
        <v>1.6679999999999999</v>
      </c>
      <c r="H19" s="579">
        <v>1.7829999999999999</v>
      </c>
      <c r="I19" s="580">
        <v>1.8819999999999999</v>
      </c>
      <c r="J19" s="1"/>
      <c r="K19" s="578">
        <v>50</v>
      </c>
      <c r="L19" s="579">
        <v>1.282181801475911</v>
      </c>
      <c r="M19" s="579">
        <v>1.4128829244575742</v>
      </c>
      <c r="N19" s="579">
        <v>1.554411542932099</v>
      </c>
      <c r="O19" s="579">
        <v>1.6898910611837619</v>
      </c>
      <c r="P19" s="579">
        <v>1.8132125609011527</v>
      </c>
      <c r="Q19" s="579">
        <v>1.9262021557402935</v>
      </c>
      <c r="R19" s="579">
        <v>2.0292718701150356</v>
      </c>
      <c r="S19" s="580">
        <v>2.1136784868145337</v>
      </c>
    </row>
    <row r="20" spans="2:19" x14ac:dyDescent="0.25">
      <c r="B20" s="578">
        <v>60</v>
      </c>
      <c r="C20" s="579">
        <v>0.83799999999999997</v>
      </c>
      <c r="D20" s="579">
        <v>1.0309999999999999</v>
      </c>
      <c r="E20" s="579">
        <v>1.177</v>
      </c>
      <c r="F20" s="579">
        <v>1.3120000000000001</v>
      </c>
      <c r="G20" s="579">
        <v>1.4450000000000001</v>
      </c>
      <c r="H20" s="579">
        <v>1.5620000000000001</v>
      </c>
      <c r="I20" s="580">
        <v>1.67</v>
      </c>
      <c r="J20" s="1"/>
      <c r="K20" s="578">
        <v>60</v>
      </c>
      <c r="L20" s="579">
        <v>1.0164606024220129</v>
      </c>
      <c r="M20" s="579">
        <v>1.1448902664768379</v>
      </c>
      <c r="N20" s="579">
        <v>1.2915402433056677</v>
      </c>
      <c r="O20" s="579">
        <v>1.4332972160561814</v>
      </c>
      <c r="P20" s="579">
        <v>1.5586282550661188</v>
      </c>
      <c r="Q20" s="579">
        <v>1.6666923694790325</v>
      </c>
      <c r="R20" s="579">
        <v>1.75904215655811</v>
      </c>
      <c r="S20" s="580">
        <v>1.8317439123739139</v>
      </c>
    </row>
    <row r="21" spans="2:19" ht="15.75" thickBot="1" x14ac:dyDescent="0.3">
      <c r="B21" s="581">
        <v>70</v>
      </c>
      <c r="C21" s="582">
        <v>0.61099999999999999</v>
      </c>
      <c r="D21" s="582">
        <v>0.80800000000000005</v>
      </c>
      <c r="E21" s="582">
        <v>0.95499999999999996</v>
      </c>
      <c r="F21" s="582">
        <v>1.083</v>
      </c>
      <c r="G21" s="582">
        <v>1.204</v>
      </c>
      <c r="H21" s="582">
        <v>1.335</v>
      </c>
      <c r="I21" s="583">
        <v>1.456</v>
      </c>
      <c r="J21" s="1"/>
      <c r="K21" s="578">
        <v>70</v>
      </c>
      <c r="L21" s="579">
        <v>0.77380995083502335</v>
      </c>
      <c r="M21" s="579">
        <v>0.87479506139653229</v>
      </c>
      <c r="N21" s="579">
        <v>1.0070247459832156</v>
      </c>
      <c r="O21" s="579">
        <v>1.1467690063985529</v>
      </c>
      <c r="P21" s="579">
        <v>1.2783337820096092</v>
      </c>
      <c r="Q21" s="579">
        <v>1.3949608595397365</v>
      </c>
      <c r="R21" s="579">
        <v>1.493548558760051</v>
      </c>
      <c r="S21" s="580">
        <v>1.5693854789622712</v>
      </c>
    </row>
    <row r="22" spans="2:19" ht="15.75" thickBot="1" x14ac:dyDescent="0.3">
      <c r="J22" s="1"/>
      <c r="K22" s="581">
        <v>80</v>
      </c>
      <c r="L22" s="582">
        <v>0.61395153873656616</v>
      </c>
      <c r="M22" s="582">
        <v>0.65871567774786666</v>
      </c>
      <c r="N22" s="582">
        <v>0.7456526106044612</v>
      </c>
      <c r="O22" s="582">
        <v>0.85818825430721057</v>
      </c>
      <c r="P22" s="582">
        <v>0.98195113225817687</v>
      </c>
      <c r="Q22" s="582">
        <v>1.1059229447662657</v>
      </c>
      <c r="R22" s="582">
        <v>1.2202830695887987</v>
      </c>
      <c r="S22" s="583">
        <v>1.3150460653106293</v>
      </c>
    </row>
    <row r="23" spans="2:19" ht="15.75" thickBot="1" x14ac:dyDescent="0.3">
      <c r="J23" s="1"/>
      <c r="K23" s="380"/>
      <c r="L23" s="380"/>
      <c r="M23" s="380"/>
      <c r="N23" s="380"/>
      <c r="O23" s="380"/>
      <c r="P23" s="380"/>
      <c r="Q23" s="380"/>
      <c r="R23" s="380"/>
      <c r="S23" s="380"/>
    </row>
    <row r="24" spans="2:19" x14ac:dyDescent="0.25">
      <c r="B24" s="570" t="s">
        <v>449</v>
      </c>
      <c r="C24" s="571" t="s">
        <v>58</v>
      </c>
      <c r="D24" s="572"/>
      <c r="E24" s="573"/>
      <c r="F24" s="573"/>
      <c r="G24" s="573"/>
      <c r="H24" s="573"/>
      <c r="I24" s="574"/>
      <c r="J24" s="1"/>
      <c r="K24" s="570" t="s">
        <v>449</v>
      </c>
      <c r="L24" s="571" t="s">
        <v>58</v>
      </c>
      <c r="M24" s="572"/>
      <c r="N24" s="573"/>
      <c r="O24" s="573"/>
      <c r="P24" s="573"/>
      <c r="Q24" s="573"/>
      <c r="R24" s="573"/>
      <c r="S24" s="574"/>
    </row>
    <row r="25" spans="2:19" x14ac:dyDescent="0.25">
      <c r="B25" s="575" t="s">
        <v>59</v>
      </c>
      <c r="C25" s="576">
        <v>30</v>
      </c>
      <c r="D25" s="576">
        <v>40</v>
      </c>
      <c r="E25" s="576">
        <v>50</v>
      </c>
      <c r="F25" s="576">
        <v>60</v>
      </c>
      <c r="G25" s="576">
        <v>70</v>
      </c>
      <c r="H25" s="576">
        <v>80</v>
      </c>
      <c r="I25" s="577">
        <v>90</v>
      </c>
      <c r="J25" s="1"/>
      <c r="K25" s="575" t="s">
        <v>59</v>
      </c>
      <c r="L25" s="576">
        <v>30</v>
      </c>
      <c r="M25" s="576">
        <v>40</v>
      </c>
      <c r="N25" s="576">
        <v>50</v>
      </c>
      <c r="O25" s="576">
        <v>60</v>
      </c>
      <c r="P25" s="576">
        <v>70</v>
      </c>
      <c r="Q25" s="576">
        <v>80</v>
      </c>
      <c r="R25" s="576">
        <v>90</v>
      </c>
      <c r="S25" s="577">
        <v>100</v>
      </c>
    </row>
    <row r="26" spans="2:19" x14ac:dyDescent="0.25">
      <c r="B26" s="578">
        <v>30</v>
      </c>
      <c r="C26" s="579">
        <v>1.9749099999999999</v>
      </c>
      <c r="D26" s="579">
        <v>2.0354299999999999</v>
      </c>
      <c r="E26" s="579">
        <v>2.0469999999999997</v>
      </c>
      <c r="F26" s="579">
        <v>2.0550100000000002</v>
      </c>
      <c r="G26" s="579">
        <v>2.0256399999999997</v>
      </c>
      <c r="H26" s="579">
        <v>2.02386</v>
      </c>
      <c r="I26" s="580">
        <v>2.03721</v>
      </c>
      <c r="J26" s="1"/>
      <c r="K26" s="578">
        <v>30</v>
      </c>
      <c r="L26" s="579">
        <v>2.0417592779785094</v>
      </c>
      <c r="M26" s="579">
        <v>2.0857549724793012</v>
      </c>
      <c r="N26" s="579">
        <v>2.1379307136910395</v>
      </c>
      <c r="O26" s="579">
        <v>2.190573189620137</v>
      </c>
      <c r="P26" s="579">
        <v>2.2284247975217468</v>
      </c>
      <c r="Q26" s="579">
        <v>2.2343438769564483</v>
      </c>
      <c r="R26" s="579">
        <v>2.1979288836943125</v>
      </c>
      <c r="S26" s="580">
        <v>2.1219550388390358</v>
      </c>
    </row>
    <row r="27" spans="2:19" x14ac:dyDescent="0.25">
      <c r="B27" s="578">
        <v>40</v>
      </c>
      <c r="C27" s="579">
        <v>1.93397</v>
      </c>
      <c r="D27" s="579">
        <v>2.1573600000000002</v>
      </c>
      <c r="E27" s="579">
        <v>2.1707100000000001</v>
      </c>
      <c r="F27" s="579">
        <v>2.09328</v>
      </c>
      <c r="G27" s="579">
        <v>2.0772599999999999</v>
      </c>
      <c r="H27" s="579">
        <v>2.0897199999999998</v>
      </c>
      <c r="I27" s="580">
        <v>2.0737000000000001</v>
      </c>
      <c r="J27" s="1"/>
      <c r="K27" s="578">
        <v>40</v>
      </c>
      <c r="L27" s="579">
        <v>2.0672036465150865</v>
      </c>
      <c r="M27" s="579">
        <v>2.1118840219713841</v>
      </c>
      <c r="N27" s="579">
        <v>2.1651594134251058</v>
      </c>
      <c r="O27" s="579">
        <v>2.2198932884917708</v>
      </c>
      <c r="P27" s="579">
        <v>2.2589520334864717</v>
      </c>
      <c r="Q27" s="579">
        <v>2.2613359373931745</v>
      </c>
      <c r="R27" s="579">
        <v>2.2132846485488145</v>
      </c>
      <c r="S27" s="580">
        <v>2.1175382039980066</v>
      </c>
    </row>
    <row r="28" spans="2:19" x14ac:dyDescent="0.25">
      <c r="B28" s="578">
        <v>50</v>
      </c>
      <c r="C28" s="579">
        <v>1.82361</v>
      </c>
      <c r="D28" s="579">
        <v>2.18228</v>
      </c>
      <c r="E28" s="579">
        <v>2.17605</v>
      </c>
      <c r="F28" s="579">
        <v>2.1030700000000002</v>
      </c>
      <c r="G28" s="579">
        <v>2.0914999999999999</v>
      </c>
      <c r="H28" s="579">
        <v>2.0977300000000003</v>
      </c>
      <c r="I28" s="580">
        <v>2.1057399999999999</v>
      </c>
      <c r="J28" s="1"/>
      <c r="K28" s="578">
        <v>50</v>
      </c>
      <c r="L28" s="579">
        <v>2.1280185021088189</v>
      </c>
      <c r="M28" s="579">
        <v>2.1723567949358089</v>
      </c>
      <c r="N28" s="579">
        <v>2.2239376645572526</v>
      </c>
      <c r="O28" s="579">
        <v>2.2770241054216855</v>
      </c>
      <c r="P28" s="579">
        <v>2.3129535360120288</v>
      </c>
      <c r="Q28" s="579">
        <v>2.3066501901409371</v>
      </c>
      <c r="R28" s="579">
        <v>2.2406650732461313</v>
      </c>
      <c r="S28" s="580">
        <v>2.1178714693982963</v>
      </c>
    </row>
    <row r="29" spans="2:19" x14ac:dyDescent="0.25">
      <c r="B29" s="578">
        <v>60</v>
      </c>
      <c r="C29" s="579">
        <v>1.82361</v>
      </c>
      <c r="D29" s="579">
        <v>2.1796099999999998</v>
      </c>
      <c r="E29" s="579">
        <v>2.18228</v>
      </c>
      <c r="F29" s="579">
        <v>2.1315499999999998</v>
      </c>
      <c r="G29" s="579">
        <v>2.1315499999999998</v>
      </c>
      <c r="H29" s="579">
        <v>2.1368899999999997</v>
      </c>
      <c r="I29" s="580">
        <v>2.1226499999999997</v>
      </c>
      <c r="J29" s="1"/>
      <c r="K29" s="578">
        <v>60</v>
      </c>
      <c r="L29" s="579">
        <v>2.1885816155920237</v>
      </c>
      <c r="M29" s="579">
        <v>2.226642500968099</v>
      </c>
      <c r="N29" s="579">
        <v>2.2704856641180302</v>
      </c>
      <c r="O29" s="579">
        <v>2.3167534136612908</v>
      </c>
      <c r="P29" s="579">
        <v>2.3462404956133618</v>
      </c>
      <c r="Q29" s="579">
        <v>2.3306131643215564</v>
      </c>
      <c r="R29" s="579">
        <v>2.2490735928919778</v>
      </c>
      <c r="S29" s="580">
        <v>2.1041970251170681</v>
      </c>
    </row>
    <row r="30" spans="2:19" ht="15.75" thickBot="1" x14ac:dyDescent="0.3">
      <c r="B30" s="581">
        <v>70</v>
      </c>
      <c r="C30" s="582">
        <v>1.7862300000000002</v>
      </c>
      <c r="D30" s="582">
        <v>2.1529099999999999</v>
      </c>
      <c r="E30" s="582">
        <v>2.1902900000000001</v>
      </c>
      <c r="F30" s="582">
        <v>2.1724899999999998</v>
      </c>
      <c r="G30" s="582">
        <v>2.1449000000000003</v>
      </c>
      <c r="H30" s="582">
        <v>2.1493500000000001</v>
      </c>
      <c r="I30" s="583">
        <v>2.1360000000000001</v>
      </c>
      <c r="J30" s="1"/>
      <c r="K30" s="578">
        <v>70</v>
      </c>
      <c r="L30" s="579">
        <v>2.2090093913710649</v>
      </c>
      <c r="M30" s="579">
        <v>2.237689457761423</v>
      </c>
      <c r="N30" s="579">
        <v>2.272316129004107</v>
      </c>
      <c r="O30" s="579">
        <v>2.3117664655364769</v>
      </c>
      <c r="P30" s="579">
        <v>2.3372180023685512</v>
      </c>
      <c r="Q30" s="579">
        <v>2.3188600837799744</v>
      </c>
      <c r="R30" s="579">
        <v>2.2338448397713941</v>
      </c>
      <c r="S30" s="580">
        <v>2.0837448740719129</v>
      </c>
    </row>
    <row r="31" spans="2:19" ht="15.75" thickBot="1" x14ac:dyDescent="0.3">
      <c r="J31" s="1"/>
      <c r="K31" s="581">
        <v>80</v>
      </c>
      <c r="L31" s="582">
        <v>2.1786168084660016</v>
      </c>
      <c r="M31" s="582">
        <v>2.2029836258081246</v>
      </c>
      <c r="N31" s="582">
        <v>2.2351093567829072</v>
      </c>
      <c r="O31" s="582">
        <v>2.2744157456184242</v>
      </c>
      <c r="P31" s="582">
        <v>2.3028719706755982</v>
      </c>
      <c r="Q31" s="582">
        <v>2.2914849694509476</v>
      </c>
      <c r="R31" s="582">
        <v>2.2175429472752484</v>
      </c>
      <c r="S31" s="583">
        <v>2.0813781661507118</v>
      </c>
    </row>
    <row r="32" spans="2:19" ht="15.75" thickBot="1" x14ac:dyDescent="0.3">
      <c r="J32" s="1"/>
      <c r="K32" s="380"/>
      <c r="L32" s="380"/>
      <c r="M32" s="380"/>
      <c r="N32" s="380"/>
      <c r="O32" s="380"/>
      <c r="P32" s="380"/>
      <c r="Q32" s="380"/>
      <c r="R32" s="380"/>
      <c r="S32" s="380"/>
    </row>
    <row r="33" spans="2:19" x14ac:dyDescent="0.25">
      <c r="B33" s="570" t="s">
        <v>61</v>
      </c>
      <c r="C33" s="571" t="s">
        <v>58</v>
      </c>
      <c r="D33" s="572"/>
      <c r="E33" s="573"/>
      <c r="F33" s="573"/>
      <c r="G33" s="573"/>
      <c r="H33" s="573"/>
      <c r="I33" s="574"/>
      <c r="J33" s="1"/>
      <c r="K33" s="570" t="s">
        <v>762</v>
      </c>
      <c r="L33" s="571" t="s">
        <v>58</v>
      </c>
      <c r="M33" s="572"/>
      <c r="N33" s="573"/>
      <c r="O33" s="573"/>
      <c r="P33" s="573"/>
      <c r="Q33" s="573"/>
      <c r="R33" s="573"/>
      <c r="S33" s="574"/>
    </row>
    <row r="34" spans="2:19" x14ac:dyDescent="0.25">
      <c r="B34" s="575" t="s">
        <v>59</v>
      </c>
      <c r="C34" s="576">
        <v>30</v>
      </c>
      <c r="D34" s="576">
        <v>40</v>
      </c>
      <c r="E34" s="576">
        <v>50</v>
      </c>
      <c r="F34" s="576">
        <v>60</v>
      </c>
      <c r="G34" s="576">
        <v>70</v>
      </c>
      <c r="H34" s="576">
        <v>80</v>
      </c>
      <c r="I34" s="577">
        <v>90</v>
      </c>
      <c r="J34" s="1"/>
      <c r="K34" s="575" t="s">
        <v>59</v>
      </c>
      <c r="L34" s="576">
        <v>30</v>
      </c>
      <c r="M34" s="576">
        <v>40</v>
      </c>
      <c r="N34" s="576">
        <v>50</v>
      </c>
      <c r="O34" s="576">
        <v>60</v>
      </c>
      <c r="P34" s="576">
        <v>70</v>
      </c>
      <c r="Q34" s="576">
        <v>80</v>
      </c>
      <c r="R34" s="576">
        <v>90</v>
      </c>
      <c r="S34" s="577">
        <v>100</v>
      </c>
    </row>
    <row r="35" spans="2:19" x14ac:dyDescent="0.25">
      <c r="B35" s="578">
        <v>30</v>
      </c>
      <c r="C35" s="579">
        <v>3.6709100000000001</v>
      </c>
      <c r="D35" s="579">
        <v>3.8824299999999998</v>
      </c>
      <c r="E35" s="579">
        <v>4.0269999999999992</v>
      </c>
      <c r="F35" s="579">
        <v>4.1680100000000007</v>
      </c>
      <c r="G35" s="579">
        <v>4.2686399999999995</v>
      </c>
      <c r="H35" s="579">
        <v>4.3938600000000001</v>
      </c>
      <c r="I35" s="580">
        <v>4.54521</v>
      </c>
      <c r="J35" s="1"/>
      <c r="K35" s="578">
        <v>30</v>
      </c>
      <c r="L35" s="579">
        <v>3.8518783991250269</v>
      </c>
      <c r="M35" s="579">
        <v>4.0301949680707132</v>
      </c>
      <c r="N35" s="579">
        <v>4.22268656594993</v>
      </c>
      <c r="O35" s="579">
        <v>4.4125378033346951</v>
      </c>
      <c r="P35" s="579">
        <v>4.5787796816653863</v>
      </c>
      <c r="Q35" s="579">
        <v>4.6999815474746827</v>
      </c>
      <c r="R35" s="579">
        <v>4.7579478563953579</v>
      </c>
      <c r="S35" s="580">
        <v>4.7409904540373775</v>
      </c>
    </row>
    <row r="36" spans="2:19" x14ac:dyDescent="0.25">
      <c r="B36" s="578">
        <v>40</v>
      </c>
      <c r="C36" s="579">
        <v>3.2999700000000001</v>
      </c>
      <c r="D36" s="579">
        <v>3.7063600000000001</v>
      </c>
      <c r="E36" s="579">
        <v>3.8387099999999998</v>
      </c>
      <c r="F36" s="579">
        <v>3.8602799999999999</v>
      </c>
      <c r="G36" s="579">
        <v>3.97126</v>
      </c>
      <c r="H36" s="579">
        <v>4.1317199999999996</v>
      </c>
      <c r="I36" s="580">
        <v>4.2546999999999997</v>
      </c>
      <c r="J36" s="1"/>
      <c r="K36" s="578">
        <v>40</v>
      </c>
      <c r="L36" s="579">
        <v>3.6173981303302725</v>
      </c>
      <c r="M36" s="579">
        <v>3.7906330522801097</v>
      </c>
      <c r="N36" s="579">
        <v>3.9815808371324701</v>
      </c>
      <c r="O36" s="579">
        <v>4.1722128518395438</v>
      </c>
      <c r="P36" s="579">
        <v>4.3413585190731734</v>
      </c>
      <c r="Q36" s="579">
        <v>4.4675411025636782</v>
      </c>
      <c r="R36" s="579">
        <v>4.5322814323706009</v>
      </c>
      <c r="S36" s="580">
        <v>4.5239083412289327</v>
      </c>
    </row>
    <row r="37" spans="2:19" x14ac:dyDescent="0.25">
      <c r="B37" s="578">
        <v>50</v>
      </c>
      <c r="C37" s="579">
        <v>2.90761</v>
      </c>
      <c r="D37" s="579">
        <v>3.4672799999999997</v>
      </c>
      <c r="E37" s="579">
        <v>3.6060499999999998</v>
      </c>
      <c r="F37" s="579">
        <v>3.6500700000000004</v>
      </c>
      <c r="G37" s="579">
        <v>3.7595000000000001</v>
      </c>
      <c r="H37" s="579">
        <v>3.8807300000000002</v>
      </c>
      <c r="I37" s="580">
        <v>3.9877399999999996</v>
      </c>
      <c r="J37" s="1"/>
      <c r="K37" s="578">
        <v>50</v>
      </c>
      <c r="L37" s="579">
        <v>3.4102003035847299</v>
      </c>
      <c r="M37" s="579">
        <v>3.5852397193933832</v>
      </c>
      <c r="N37" s="579">
        <v>3.7783492074893514</v>
      </c>
      <c r="O37" s="579">
        <v>3.9669151666054474</v>
      </c>
      <c r="P37" s="579">
        <v>4.126166096913181</v>
      </c>
      <c r="Q37" s="579">
        <v>4.2328523458812306</v>
      </c>
      <c r="R37" s="579">
        <v>4.2699369433611665</v>
      </c>
      <c r="S37" s="580">
        <v>4.23154995621283</v>
      </c>
    </row>
    <row r="38" spans="2:19" x14ac:dyDescent="0.25">
      <c r="B38" s="578">
        <v>60</v>
      </c>
      <c r="C38" s="579">
        <v>2.66161</v>
      </c>
      <c r="D38" s="579">
        <v>3.21061</v>
      </c>
      <c r="E38" s="579">
        <v>3.35928</v>
      </c>
      <c r="F38" s="579">
        <v>3.4435500000000001</v>
      </c>
      <c r="G38" s="579">
        <v>3.5765500000000001</v>
      </c>
      <c r="H38" s="579">
        <v>3.6988899999999996</v>
      </c>
      <c r="I38" s="580">
        <v>3.7926499999999996</v>
      </c>
      <c r="J38" s="1"/>
      <c r="K38" s="578">
        <v>60</v>
      </c>
      <c r="L38" s="579">
        <v>3.2050422180140368</v>
      </c>
      <c r="M38" s="579">
        <v>3.3715327674449371</v>
      </c>
      <c r="N38" s="579">
        <v>3.5620259074236982</v>
      </c>
      <c r="O38" s="579">
        <v>3.7500506297174723</v>
      </c>
      <c r="P38" s="579">
        <v>3.9048687506794808</v>
      </c>
      <c r="Q38" s="579">
        <v>3.997305533800589</v>
      </c>
      <c r="R38" s="579">
        <v>4.0081157494500879</v>
      </c>
      <c r="S38" s="580">
        <v>3.9359409374909822</v>
      </c>
    </row>
    <row r="39" spans="2:19" ht="15.75" thickBot="1" x14ac:dyDescent="0.3">
      <c r="B39" s="581">
        <v>70</v>
      </c>
      <c r="C39" s="582">
        <v>2.3972300000000004</v>
      </c>
      <c r="D39" s="582">
        <v>2.9609100000000002</v>
      </c>
      <c r="E39" s="582">
        <v>3.1452900000000001</v>
      </c>
      <c r="F39" s="582">
        <v>3.25549</v>
      </c>
      <c r="G39" s="582">
        <v>3.3489000000000004</v>
      </c>
      <c r="H39" s="582">
        <v>3.4843500000000001</v>
      </c>
      <c r="I39" s="583">
        <v>3.5920000000000001</v>
      </c>
      <c r="J39" s="1"/>
      <c r="K39" s="578">
        <v>70</v>
      </c>
      <c r="L39" s="579">
        <v>2.9828193422060885</v>
      </c>
      <c r="M39" s="579">
        <v>3.1124845191579551</v>
      </c>
      <c r="N39" s="579">
        <v>3.2793408749873225</v>
      </c>
      <c r="O39" s="579">
        <v>3.4585354719350301</v>
      </c>
      <c r="P39" s="579">
        <v>3.6155517843781606</v>
      </c>
      <c r="Q39" s="579">
        <v>3.7138209433197109</v>
      </c>
      <c r="R39" s="579">
        <v>3.7273933985314454</v>
      </c>
      <c r="S39" s="580">
        <v>3.6531303530341841</v>
      </c>
    </row>
    <row r="40" spans="2:19" ht="15.75" thickBot="1" x14ac:dyDescent="0.3">
      <c r="J40" s="1"/>
      <c r="K40" s="581">
        <v>80</v>
      </c>
      <c r="L40" s="582">
        <v>2.7925683472025677</v>
      </c>
      <c r="M40" s="582">
        <v>2.8616993035559912</v>
      </c>
      <c r="N40" s="582">
        <v>2.9807619673873686</v>
      </c>
      <c r="O40" s="582">
        <v>3.1326039999256348</v>
      </c>
      <c r="P40" s="582">
        <v>3.2848231029337751</v>
      </c>
      <c r="Q40" s="582">
        <v>3.3974079142172133</v>
      </c>
      <c r="R40" s="582">
        <v>3.4378260168640473</v>
      </c>
      <c r="S40" s="583">
        <v>3.3964242314613413</v>
      </c>
    </row>
    <row r="41" spans="2:19" ht="15.75" thickBot="1" x14ac:dyDescent="0.3">
      <c r="J41" s="1"/>
      <c r="K41" s="380"/>
      <c r="L41" s="145"/>
      <c r="M41" s="145"/>
      <c r="N41" s="145"/>
      <c r="O41" s="145"/>
      <c r="P41" s="145"/>
      <c r="Q41" s="145"/>
      <c r="R41" s="145"/>
      <c r="S41" s="145"/>
    </row>
    <row r="42" spans="2:19" x14ac:dyDescent="0.25">
      <c r="B42" s="603" t="s">
        <v>60</v>
      </c>
      <c r="C42" s="604" t="s">
        <v>58</v>
      </c>
      <c r="D42" s="605"/>
      <c r="E42" s="606"/>
      <c r="F42" s="606"/>
      <c r="G42" s="606"/>
      <c r="H42" s="606"/>
      <c r="I42" s="607"/>
      <c r="J42" s="1"/>
      <c r="K42" s="570" t="s">
        <v>60</v>
      </c>
      <c r="L42" s="571" t="s">
        <v>58</v>
      </c>
      <c r="M42" s="572"/>
      <c r="N42" s="573"/>
      <c r="O42" s="573"/>
      <c r="P42" s="573"/>
      <c r="Q42" s="573"/>
      <c r="R42" s="573"/>
      <c r="S42" s="574"/>
    </row>
    <row r="43" spans="2:19" x14ac:dyDescent="0.25">
      <c r="B43" s="610" t="s">
        <v>59</v>
      </c>
      <c r="C43" s="608">
        <v>30</v>
      </c>
      <c r="D43" s="608">
        <v>40</v>
      </c>
      <c r="E43" s="608">
        <v>50</v>
      </c>
      <c r="F43" s="608">
        <v>60</v>
      </c>
      <c r="G43" s="608">
        <v>70</v>
      </c>
      <c r="H43" s="608">
        <v>80</v>
      </c>
      <c r="I43" s="609">
        <v>90</v>
      </c>
      <c r="J43" s="1"/>
      <c r="K43" s="575" t="s">
        <v>59</v>
      </c>
      <c r="L43" s="576">
        <v>30</v>
      </c>
      <c r="M43" s="576">
        <v>40</v>
      </c>
      <c r="N43" s="576">
        <v>50</v>
      </c>
      <c r="O43" s="576">
        <v>60</v>
      </c>
      <c r="P43" s="576">
        <v>70</v>
      </c>
      <c r="Q43" s="576">
        <v>80</v>
      </c>
      <c r="R43" s="576">
        <v>90</v>
      </c>
      <c r="S43" s="577">
        <v>100</v>
      </c>
    </row>
    <row r="44" spans="2:19" x14ac:dyDescent="0.25">
      <c r="B44" s="611">
        <v>30</v>
      </c>
      <c r="C44" s="585">
        <v>0.46201078206766166</v>
      </c>
      <c r="D44" s="586">
        <v>0.47573298166354577</v>
      </c>
      <c r="E44" s="586">
        <v>0.49168115222249825</v>
      </c>
      <c r="F44" s="586">
        <v>0.50695655720595667</v>
      </c>
      <c r="G44" s="586">
        <v>0.52546009970388696</v>
      </c>
      <c r="H44" s="586">
        <v>0.53938905654709068</v>
      </c>
      <c r="I44" s="587">
        <v>0.55178968628512215</v>
      </c>
      <c r="J44" s="1"/>
      <c r="K44" s="578">
        <v>30</v>
      </c>
      <c r="L44" s="579">
        <v>0.46993153303014312</v>
      </c>
      <c r="M44" s="579">
        <v>0.48246797264059699</v>
      </c>
      <c r="N44" s="579">
        <v>0.49370366938184213</v>
      </c>
      <c r="O44" s="579">
        <v>0.50355707140579031</v>
      </c>
      <c r="P44" s="579">
        <v>0.51331469246163242</v>
      </c>
      <c r="Q44" s="579">
        <v>0.52460581932348871</v>
      </c>
      <c r="R44" s="579">
        <v>0.53805107789485684</v>
      </c>
      <c r="S44" s="580">
        <v>0.55242368458430424</v>
      </c>
    </row>
    <row r="45" spans="2:19" x14ac:dyDescent="0.25">
      <c r="B45" s="611">
        <v>40</v>
      </c>
      <c r="C45" s="586">
        <v>0.41394315705900359</v>
      </c>
      <c r="D45" s="588">
        <v>0.41793026041722875</v>
      </c>
      <c r="E45" s="585">
        <v>0.43452097188899397</v>
      </c>
      <c r="F45" s="586">
        <v>0.45773881687338741</v>
      </c>
      <c r="G45" s="586">
        <v>0.4769267184722229</v>
      </c>
      <c r="H45" s="586">
        <v>0.49422516530645832</v>
      </c>
      <c r="I45" s="587">
        <v>0.51260958469457307</v>
      </c>
      <c r="J45" s="1"/>
      <c r="K45" s="578">
        <v>40</v>
      </c>
      <c r="L45" s="953">
        <v>0.42853853182968604</v>
      </c>
      <c r="M45" s="954">
        <v>0.44286772345293052</v>
      </c>
      <c r="N45" s="579">
        <v>0.4562060894927224</v>
      </c>
      <c r="O45" s="579">
        <v>0.46793383575504494</v>
      </c>
      <c r="P45" s="579">
        <v>0.47966701585181909</v>
      </c>
      <c r="Q45" s="579">
        <v>0.49382985282541281</v>
      </c>
      <c r="R45" s="579">
        <v>0.51166213273054384</v>
      </c>
      <c r="S45" s="580">
        <v>0.53192283214500957</v>
      </c>
    </row>
    <row r="46" spans="2:19" x14ac:dyDescent="0.25">
      <c r="B46" s="611">
        <v>50</v>
      </c>
      <c r="C46" s="586">
        <v>0.3728147860270119</v>
      </c>
      <c r="D46" s="586">
        <v>0.37060750790244806</v>
      </c>
      <c r="E46" s="586">
        <v>0.39655578818929299</v>
      </c>
      <c r="F46" s="588">
        <v>0.42382748823995148</v>
      </c>
      <c r="G46" s="585">
        <v>0.44367602074743978</v>
      </c>
      <c r="H46" s="586">
        <v>0.45944963962965724</v>
      </c>
      <c r="I46" s="587">
        <v>0.47194651607175997</v>
      </c>
      <c r="J46" s="1"/>
      <c r="K46" s="578">
        <v>50</v>
      </c>
      <c r="L46" s="579">
        <v>0.37598430805607191</v>
      </c>
      <c r="M46" s="579">
        <v>0.39408325106267422</v>
      </c>
      <c r="N46" s="579">
        <v>0.41139965036873311</v>
      </c>
      <c r="O46" s="953">
        <v>0.42599626919418815</v>
      </c>
      <c r="P46" s="954">
        <v>0.43944245537222359</v>
      </c>
      <c r="Q46" s="579">
        <v>0.45506008675558479</v>
      </c>
      <c r="R46" s="579">
        <v>0.47524633197923843</v>
      </c>
      <c r="S46" s="580">
        <v>0.4995045571212498</v>
      </c>
    </row>
    <row r="47" spans="2:19" x14ac:dyDescent="0.25">
      <c r="B47" s="611">
        <v>60</v>
      </c>
      <c r="C47" s="586">
        <v>0.31484702867813091</v>
      </c>
      <c r="D47" s="586">
        <v>0.3211227772915427</v>
      </c>
      <c r="E47" s="586">
        <v>0.35037269891167155</v>
      </c>
      <c r="F47" s="586">
        <v>0.3810021634650288</v>
      </c>
      <c r="G47" s="586">
        <v>0.40402063441025571</v>
      </c>
      <c r="H47" s="585">
        <v>0.42228884881680728</v>
      </c>
      <c r="I47" s="587">
        <v>0.44032536616877382</v>
      </c>
      <c r="J47" s="1"/>
      <c r="K47" s="578">
        <v>60</v>
      </c>
      <c r="L47" s="579">
        <v>0.3171442162942395</v>
      </c>
      <c r="M47" s="579">
        <v>0.33957560120184593</v>
      </c>
      <c r="N47" s="579">
        <v>0.36258586458170888</v>
      </c>
      <c r="O47" s="579">
        <v>0.38220743066718693</v>
      </c>
      <c r="P47" s="579">
        <v>0.39914997265782726</v>
      </c>
      <c r="Q47" s="579">
        <v>0.41695395945737523</v>
      </c>
      <c r="R47" s="579">
        <v>0.43887009919797104</v>
      </c>
      <c r="S47" s="580">
        <v>0.46538907505598481</v>
      </c>
    </row>
    <row r="48" spans="2:19" ht="15.75" thickBot="1" x14ac:dyDescent="0.3">
      <c r="B48" s="612">
        <v>70</v>
      </c>
      <c r="C48" s="589">
        <v>0.25487750445305618</v>
      </c>
      <c r="D48" s="589">
        <v>0.27288907801993306</v>
      </c>
      <c r="E48" s="589">
        <v>0.30362860022446259</v>
      </c>
      <c r="F48" s="589">
        <v>0.33266881483279015</v>
      </c>
      <c r="G48" s="589">
        <v>0.35952103675833852</v>
      </c>
      <c r="H48" s="589">
        <v>0.38314176245210724</v>
      </c>
      <c r="I48" s="590">
        <v>0.40534521158129172</v>
      </c>
      <c r="J48" s="1"/>
      <c r="K48" s="578">
        <v>70</v>
      </c>
      <c r="L48" s="579">
        <v>0.25942233238393669</v>
      </c>
      <c r="M48" s="579">
        <v>0.28106005219045954</v>
      </c>
      <c r="N48" s="579">
        <v>0.30708144848989161</v>
      </c>
      <c r="O48" s="579">
        <v>0.33157647672092327</v>
      </c>
      <c r="P48" s="579">
        <v>0.35356533614950564</v>
      </c>
      <c r="Q48" s="579">
        <v>0.3756133860058446</v>
      </c>
      <c r="R48" s="579">
        <v>0.40069517731841608</v>
      </c>
      <c r="S48" s="580">
        <v>0.42960018594978006</v>
      </c>
    </row>
    <row r="49" spans="10:19" ht="15.75" thickBot="1" x14ac:dyDescent="0.3">
      <c r="J49" s="1"/>
      <c r="K49" s="581">
        <v>80</v>
      </c>
      <c r="L49" s="582">
        <v>0.21985192926489588</v>
      </c>
      <c r="M49" s="582">
        <v>0.23018340079593147</v>
      </c>
      <c r="N49" s="582">
        <v>0.25015503376743098</v>
      </c>
      <c r="O49" s="582">
        <v>0.27395363548267931</v>
      </c>
      <c r="P49" s="582">
        <v>0.29893577263907045</v>
      </c>
      <c r="Q49" s="582">
        <v>0.32551962339826307</v>
      </c>
      <c r="R49" s="582">
        <v>0.35495777377993359</v>
      </c>
      <c r="S49" s="583">
        <v>0.38718545614215549</v>
      </c>
    </row>
  </sheetData>
  <conditionalFormatting sqref="C44:I4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8:I12">
    <cfRule type="colorScale" priority="15">
      <colorScale>
        <cfvo type="min"/>
        <cfvo type="max"/>
        <color rgb="FF63BE7B"/>
        <color rgb="FFFCFCFF"/>
      </colorScale>
    </cfRule>
  </conditionalFormatting>
  <conditionalFormatting sqref="C35:I39">
    <cfRule type="colorScale" priority="14">
      <colorScale>
        <cfvo type="min"/>
        <cfvo type="max"/>
        <color rgb="FFFCFCFF"/>
        <color rgb="FFF8696B"/>
      </colorScale>
    </cfRule>
  </conditionalFormatting>
  <conditionalFormatting sqref="C17:I21">
    <cfRule type="colorScale" priority="13">
      <colorScale>
        <cfvo type="min"/>
        <cfvo type="max"/>
        <color rgb="FFFCFCFF"/>
        <color rgb="FFF8696B"/>
      </colorScale>
    </cfRule>
  </conditionalFormatting>
  <conditionalFormatting sqref="C26:I30">
    <cfRule type="colorScale" priority="12">
      <colorScale>
        <cfvo type="min"/>
        <cfvo type="max"/>
        <color rgb="FFFCFCFF"/>
        <color rgb="FFF8696B"/>
      </colorScale>
    </cfRule>
  </conditionalFormatting>
  <conditionalFormatting sqref="L8:S13">
    <cfRule type="colorScale" priority="11">
      <colorScale>
        <cfvo type="min"/>
        <cfvo type="max"/>
        <color rgb="FF63BE7B"/>
        <color rgb="FFFCFCFF"/>
      </colorScale>
    </cfRule>
  </conditionalFormatting>
  <conditionalFormatting sqref="L44:S49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L17:S22">
    <cfRule type="colorScale" priority="7">
      <colorScale>
        <cfvo type="min"/>
        <cfvo type="max"/>
        <color theme="0"/>
        <color rgb="FFFF5050"/>
      </colorScale>
    </cfRule>
  </conditionalFormatting>
  <conditionalFormatting sqref="L26:S31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L35:S40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2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AD3F5-9CA9-4940-B368-41475F6F93B6}">
  <sheetPr codeName="Sheet8"/>
  <dimension ref="B2:AL42"/>
  <sheetViews>
    <sheetView showGridLines="0" zoomScale="85" zoomScaleNormal="85" workbookViewId="0">
      <selection activeCell="B2" sqref="B2:G3"/>
    </sheetView>
  </sheetViews>
  <sheetFormatPr defaultColWidth="9.140625" defaultRowHeight="12.75" x14ac:dyDescent="0.2"/>
  <cols>
    <col min="1" max="1" width="3.7109375" style="1" customWidth="1"/>
    <col min="2" max="2" width="15.42578125" style="1" bestFit="1" customWidth="1"/>
    <col min="3" max="3" width="9.7109375" style="1" bestFit="1" customWidth="1"/>
    <col min="4" max="4" width="7.85546875" style="1" bestFit="1" customWidth="1"/>
    <col min="5" max="5" width="10" style="1" bestFit="1" customWidth="1"/>
    <col min="6" max="6" width="9.28515625" style="1" bestFit="1" customWidth="1"/>
    <col min="7" max="7" width="9.7109375" style="1" bestFit="1" customWidth="1"/>
    <col min="8" max="8" width="6" style="1" bestFit="1" customWidth="1"/>
    <col min="9" max="9" width="5.28515625" style="1" bestFit="1" customWidth="1"/>
    <col min="10" max="10" width="9.140625" style="1"/>
    <col min="11" max="11" width="15.42578125" style="1" bestFit="1" customWidth="1"/>
    <col min="12" max="12" width="9.7109375" style="1" bestFit="1" customWidth="1"/>
    <col min="13" max="13" width="7.85546875" style="1" bestFit="1" customWidth="1"/>
    <col min="14" max="14" width="10" style="1" bestFit="1" customWidth="1"/>
    <col min="15" max="15" width="9.28515625" style="1" bestFit="1" customWidth="1"/>
    <col min="16" max="16" width="9.7109375" style="1" bestFit="1" customWidth="1"/>
    <col min="17" max="17" width="6" style="1" bestFit="1" customWidth="1"/>
    <col min="18" max="18" width="5.5703125" style="1" bestFit="1" customWidth="1"/>
    <col min="19" max="19" width="9.140625" style="1"/>
    <col min="20" max="20" width="13.7109375" style="1" bestFit="1" customWidth="1"/>
    <col min="21" max="37" width="9.140625" style="1"/>
    <col min="38" max="38" width="9.140625" style="1" customWidth="1"/>
    <col min="39" max="16384" width="9.140625" style="1"/>
  </cols>
  <sheetData>
    <row r="2" spans="2:38" x14ac:dyDescent="0.2">
      <c r="B2" s="1187" t="s">
        <v>13</v>
      </c>
      <c r="C2" s="1187"/>
      <c r="D2" s="1187"/>
      <c r="E2" s="1187"/>
      <c r="F2" s="1187"/>
      <c r="G2" s="1187"/>
      <c r="K2" s="1187" t="s">
        <v>17</v>
      </c>
      <c r="L2" s="1187"/>
      <c r="M2" s="1187"/>
      <c r="N2" s="1187"/>
      <c r="O2" s="1187"/>
      <c r="P2" s="1187"/>
      <c r="T2" s="1180" t="s">
        <v>88</v>
      </c>
      <c r="U2" s="1180"/>
      <c r="V2" s="1180"/>
      <c r="W2" s="1180"/>
      <c r="X2" s="1180"/>
      <c r="Y2" s="1180"/>
      <c r="Z2" s="1180"/>
      <c r="AA2" s="1180"/>
      <c r="AB2" s="1180"/>
    </row>
    <row r="3" spans="2:38" x14ac:dyDescent="0.2">
      <c r="B3" s="1187"/>
      <c r="C3" s="1187"/>
      <c r="D3" s="1187"/>
      <c r="E3" s="1187"/>
      <c r="F3" s="1187"/>
      <c r="G3" s="1187"/>
      <c r="K3" s="1187"/>
      <c r="L3" s="1187"/>
      <c r="M3" s="1187"/>
      <c r="N3" s="1187"/>
      <c r="O3" s="1187"/>
      <c r="P3" s="1187"/>
      <c r="T3" s="1180"/>
      <c r="U3" s="1180"/>
      <c r="V3" s="1180"/>
      <c r="W3" s="1180"/>
      <c r="X3" s="1180"/>
      <c r="Y3" s="1180"/>
      <c r="Z3" s="1180"/>
      <c r="AA3" s="1180"/>
      <c r="AB3" s="1180"/>
    </row>
    <row r="4" spans="2:38" ht="13.5" thickBot="1" x14ac:dyDescent="0.25"/>
    <row r="5" spans="2:38" x14ac:dyDescent="0.2">
      <c r="B5" s="1183" t="s">
        <v>63</v>
      </c>
      <c r="C5" s="1184"/>
      <c r="D5" s="533" t="s">
        <v>428</v>
      </c>
      <c r="J5" s="195"/>
      <c r="K5" s="1183" t="s">
        <v>64</v>
      </c>
      <c r="L5" s="1184"/>
      <c r="AC5" s="1181" t="s">
        <v>92</v>
      </c>
      <c r="AD5" s="1182"/>
    </row>
    <row r="6" spans="2:38" ht="13.5" thickBot="1" x14ac:dyDescent="0.25">
      <c r="B6" s="1188"/>
      <c r="C6" s="1189"/>
      <c r="J6" s="195"/>
      <c r="K6" s="1188"/>
      <c r="L6" s="1189"/>
      <c r="T6" s="203" t="s">
        <v>89</v>
      </c>
      <c r="U6" s="204">
        <v>5</v>
      </c>
      <c r="V6" s="43"/>
      <c r="W6" s="204">
        <v>5</v>
      </c>
      <c r="X6" s="43"/>
      <c r="Y6" s="204">
        <v>5</v>
      </c>
      <c r="Z6" s="43"/>
      <c r="AA6" s="204">
        <v>7</v>
      </c>
      <c r="AB6" s="43"/>
      <c r="AC6" s="205">
        <v>7</v>
      </c>
      <c r="AD6" s="206"/>
      <c r="AE6" s="204">
        <v>7</v>
      </c>
      <c r="AF6" s="43"/>
      <c r="AG6" s="204">
        <v>9</v>
      </c>
      <c r="AH6" s="43"/>
      <c r="AI6" s="204">
        <v>9</v>
      </c>
      <c r="AJ6" s="43"/>
      <c r="AK6" s="204">
        <v>9</v>
      </c>
      <c r="AL6" s="43"/>
    </row>
    <row r="7" spans="2:38" x14ac:dyDescent="0.2">
      <c r="B7" s="207" t="s">
        <v>65</v>
      </c>
      <c r="C7" s="208"/>
      <c r="D7" s="208"/>
      <c r="E7" s="208"/>
      <c r="F7" s="208"/>
      <c r="G7" s="208"/>
      <c r="H7" s="208"/>
      <c r="I7" s="209"/>
      <c r="J7" s="195"/>
      <c r="K7" s="207" t="s">
        <v>65</v>
      </c>
      <c r="L7" s="208"/>
      <c r="M7" s="208"/>
      <c r="N7" s="183"/>
      <c r="O7" s="183"/>
      <c r="P7" s="183"/>
      <c r="Q7" s="183"/>
      <c r="R7" s="210"/>
      <c r="T7" s="203" t="s">
        <v>90</v>
      </c>
      <c r="U7" s="204">
        <v>4</v>
      </c>
      <c r="V7" s="43"/>
      <c r="W7" s="204">
        <v>6</v>
      </c>
      <c r="X7" s="43"/>
      <c r="Y7" s="204">
        <v>8</v>
      </c>
      <c r="Z7" s="43"/>
      <c r="AA7" s="204">
        <v>4</v>
      </c>
      <c r="AB7" s="43"/>
      <c r="AC7" s="205">
        <v>6</v>
      </c>
      <c r="AD7" s="206"/>
      <c r="AE7" s="204">
        <v>8</v>
      </c>
      <c r="AF7" s="43"/>
      <c r="AG7" s="204">
        <v>4</v>
      </c>
      <c r="AH7" s="43"/>
      <c r="AI7" s="204">
        <v>6</v>
      </c>
      <c r="AJ7" s="43"/>
      <c r="AK7" s="204">
        <v>8</v>
      </c>
      <c r="AL7" s="43"/>
    </row>
    <row r="8" spans="2:38" x14ac:dyDescent="0.2">
      <c r="B8" s="211" t="s">
        <v>66</v>
      </c>
      <c r="C8" s="212">
        <v>4</v>
      </c>
      <c r="D8" s="212" t="s">
        <v>67</v>
      </c>
      <c r="E8" s="212"/>
      <c r="F8" s="212"/>
      <c r="G8" s="212"/>
      <c r="H8" s="212"/>
      <c r="I8" s="213"/>
      <c r="K8" s="211" t="s">
        <v>66</v>
      </c>
      <c r="L8" s="212">
        <v>4</v>
      </c>
      <c r="M8" s="212" t="s">
        <v>67</v>
      </c>
      <c r="N8" s="212"/>
      <c r="O8" s="212"/>
      <c r="P8" s="212"/>
      <c r="Q8" s="212"/>
      <c r="R8" s="213"/>
    </row>
    <row r="9" spans="2:38" x14ac:dyDescent="0.2">
      <c r="B9" s="211" t="s">
        <v>68</v>
      </c>
      <c r="C9" s="212">
        <v>61</v>
      </c>
      <c r="D9" s="212" t="s">
        <v>69</v>
      </c>
      <c r="E9" s="212"/>
      <c r="F9" s="212"/>
      <c r="G9" s="212"/>
      <c r="H9" s="212"/>
      <c r="I9" s="213"/>
      <c r="K9" s="211" t="s">
        <v>68</v>
      </c>
      <c r="L9" s="212">
        <v>61</v>
      </c>
      <c r="M9" s="212" t="s">
        <v>69</v>
      </c>
      <c r="N9" s="212"/>
      <c r="O9" s="212"/>
      <c r="P9" s="212"/>
      <c r="Q9" s="212"/>
      <c r="R9" s="213"/>
      <c r="T9" s="214" t="s">
        <v>93</v>
      </c>
      <c r="U9" s="215" t="s">
        <v>22</v>
      </c>
      <c r="V9" s="216" t="s">
        <v>91</v>
      </c>
      <c r="W9" s="215" t="s">
        <v>22</v>
      </c>
      <c r="X9" s="216" t="s">
        <v>91</v>
      </c>
      <c r="Y9" s="215" t="s">
        <v>22</v>
      </c>
      <c r="Z9" s="216" t="s">
        <v>91</v>
      </c>
      <c r="AA9" s="215" t="s">
        <v>22</v>
      </c>
      <c r="AB9" s="216" t="s">
        <v>91</v>
      </c>
      <c r="AC9" s="217" t="s">
        <v>22</v>
      </c>
      <c r="AD9" s="218" t="s">
        <v>91</v>
      </c>
      <c r="AE9" s="215" t="s">
        <v>22</v>
      </c>
      <c r="AF9" s="216" t="s">
        <v>91</v>
      </c>
      <c r="AG9" s="215" t="s">
        <v>22</v>
      </c>
      <c r="AH9" s="216" t="s">
        <v>91</v>
      </c>
      <c r="AI9" s="215" t="s">
        <v>22</v>
      </c>
      <c r="AJ9" s="216" t="s">
        <v>91</v>
      </c>
      <c r="AK9" s="215" t="s">
        <v>22</v>
      </c>
      <c r="AL9" s="216" t="s">
        <v>91</v>
      </c>
    </row>
    <row r="10" spans="2:38" x14ac:dyDescent="0.2">
      <c r="B10" s="219" t="s">
        <v>70</v>
      </c>
      <c r="C10" s="212"/>
      <c r="D10" s="212"/>
      <c r="E10" s="212"/>
      <c r="F10" s="212"/>
      <c r="G10" s="212"/>
      <c r="H10" s="212"/>
      <c r="I10" s="213"/>
      <c r="K10" s="219" t="s">
        <v>70</v>
      </c>
      <c r="L10" s="220"/>
      <c r="M10" s="220"/>
      <c r="N10" s="220"/>
      <c r="O10" s="220"/>
      <c r="P10" s="220"/>
      <c r="Q10" s="220"/>
      <c r="R10" s="221"/>
      <c r="T10" s="222">
        <v>100</v>
      </c>
      <c r="U10" s="223"/>
      <c r="V10" s="224"/>
      <c r="W10" s="223"/>
      <c r="X10" s="224"/>
      <c r="Y10" s="223"/>
      <c r="Z10" s="224"/>
      <c r="AA10" s="223"/>
      <c r="AB10" s="224"/>
      <c r="AC10" s="225"/>
      <c r="AD10" s="226"/>
      <c r="AE10" s="223"/>
      <c r="AF10" s="224"/>
      <c r="AG10" s="223"/>
      <c r="AH10" s="224"/>
      <c r="AI10" s="223"/>
      <c r="AJ10" s="224"/>
      <c r="AK10" s="223"/>
      <c r="AL10" s="224"/>
    </row>
    <row r="11" spans="2:38" x14ac:dyDescent="0.2">
      <c r="B11" s="211" t="s">
        <v>71</v>
      </c>
      <c r="C11" s="227" t="s">
        <v>19</v>
      </c>
      <c r="D11" s="227" t="s">
        <v>72</v>
      </c>
      <c r="E11" s="227" t="s">
        <v>73</v>
      </c>
      <c r="F11" s="227" t="s">
        <v>74</v>
      </c>
      <c r="G11" s="227" t="s">
        <v>75</v>
      </c>
      <c r="H11" s="227" t="s">
        <v>76</v>
      </c>
      <c r="I11" s="228" t="s">
        <v>77</v>
      </c>
      <c r="K11" s="211" t="s">
        <v>71</v>
      </c>
      <c r="L11" s="227" t="s">
        <v>19</v>
      </c>
      <c r="M11" s="227" t="s">
        <v>72</v>
      </c>
      <c r="N11" s="227" t="s">
        <v>73</v>
      </c>
      <c r="O11" s="227" t="s">
        <v>74</v>
      </c>
      <c r="P11" s="227" t="s">
        <v>75</v>
      </c>
      <c r="Q11" s="227" t="s">
        <v>76</v>
      </c>
      <c r="R11" s="228" t="s">
        <v>77</v>
      </c>
      <c r="T11" s="229">
        <v>150</v>
      </c>
      <c r="U11" s="230"/>
      <c r="V11" s="231"/>
      <c r="W11" s="230"/>
      <c r="X11" s="231"/>
      <c r="Y11" s="230"/>
      <c r="Z11" s="231"/>
      <c r="AA11" s="230"/>
      <c r="AB11" s="231"/>
      <c r="AC11" s="232"/>
      <c r="AD11" s="233"/>
      <c r="AE11" s="230"/>
      <c r="AF11" s="231"/>
      <c r="AG11" s="230"/>
      <c r="AH11" s="231"/>
      <c r="AI11" s="230"/>
      <c r="AJ11" s="231"/>
      <c r="AK11" s="230"/>
      <c r="AL11" s="231"/>
    </row>
    <row r="12" spans="2:38" x14ac:dyDescent="0.2">
      <c r="B12" s="234">
        <v>0</v>
      </c>
      <c r="C12" s="212" t="s">
        <v>78</v>
      </c>
      <c r="D12" s="212"/>
      <c r="E12" s="212"/>
      <c r="F12" s="212"/>
      <c r="G12" s="235">
        <v>18</v>
      </c>
      <c r="H12" s="212">
        <v>18</v>
      </c>
      <c r="I12" s="213">
        <v>0</v>
      </c>
      <c r="J12" s="195"/>
      <c r="K12" s="234">
        <v>0</v>
      </c>
      <c r="L12" s="212" t="s">
        <v>78</v>
      </c>
      <c r="M12" s="212"/>
      <c r="N12" s="212"/>
      <c r="O12" s="212"/>
      <c r="P12" s="235">
        <v>19</v>
      </c>
      <c r="Q12" s="212">
        <v>19</v>
      </c>
      <c r="R12" s="213">
        <v>0</v>
      </c>
      <c r="T12" s="229">
        <v>200</v>
      </c>
      <c r="U12" s="230"/>
      <c r="V12" s="231"/>
      <c r="W12" s="230"/>
      <c r="X12" s="231"/>
      <c r="Y12" s="230"/>
      <c r="Z12" s="231"/>
      <c r="AA12" s="230"/>
      <c r="AB12" s="231"/>
      <c r="AC12" s="232"/>
      <c r="AD12" s="233"/>
      <c r="AE12" s="230"/>
      <c r="AF12" s="231"/>
      <c r="AG12" s="230"/>
      <c r="AH12" s="231"/>
      <c r="AI12" s="230"/>
      <c r="AJ12" s="231"/>
      <c r="AK12" s="230"/>
      <c r="AL12" s="231"/>
    </row>
    <row r="13" spans="2:38" x14ac:dyDescent="0.2">
      <c r="B13" s="234">
        <v>1</v>
      </c>
      <c r="C13" s="236" t="s">
        <v>79</v>
      </c>
      <c r="D13" s="235">
        <v>22</v>
      </c>
      <c r="E13" s="235">
        <v>1</v>
      </c>
      <c r="F13" s="237">
        <v>0.45</v>
      </c>
      <c r="G13" s="238">
        <v>9.9</v>
      </c>
      <c r="H13" s="239">
        <v>47.3</v>
      </c>
      <c r="I13" s="240">
        <v>37.4</v>
      </c>
      <c r="K13" s="234">
        <v>1</v>
      </c>
      <c r="L13" s="236" t="s">
        <v>79</v>
      </c>
      <c r="M13" s="235">
        <v>16</v>
      </c>
      <c r="N13" s="235">
        <v>1</v>
      </c>
      <c r="O13" s="237">
        <v>0.45</v>
      </c>
      <c r="P13" s="238">
        <v>7.2</v>
      </c>
      <c r="Q13" s="239">
        <v>34.4</v>
      </c>
      <c r="R13" s="240">
        <v>27.2</v>
      </c>
      <c r="T13" s="229">
        <v>250</v>
      </c>
      <c r="U13" s="230"/>
      <c r="V13" s="231"/>
      <c r="W13" s="230"/>
      <c r="X13" s="231"/>
      <c r="Y13" s="230"/>
      <c r="Z13" s="231"/>
      <c r="AA13" s="230"/>
      <c r="AB13" s="231"/>
      <c r="AC13" s="232"/>
      <c r="AD13" s="233"/>
      <c r="AE13" s="230"/>
      <c r="AF13" s="231"/>
      <c r="AG13" s="230"/>
      <c r="AH13" s="231"/>
      <c r="AI13" s="230"/>
      <c r="AJ13" s="231"/>
      <c r="AK13" s="230"/>
      <c r="AL13" s="231"/>
    </row>
    <row r="14" spans="2:38" x14ac:dyDescent="0.2">
      <c r="B14" s="234">
        <v>2</v>
      </c>
      <c r="C14" s="236" t="s">
        <v>79</v>
      </c>
      <c r="D14" s="235">
        <v>22</v>
      </c>
      <c r="E14" s="235">
        <v>1</v>
      </c>
      <c r="F14" s="237">
        <v>0.45</v>
      </c>
      <c r="G14" s="238">
        <v>9.9</v>
      </c>
      <c r="H14" s="239">
        <v>47.3</v>
      </c>
      <c r="I14" s="240">
        <v>37.4</v>
      </c>
      <c r="K14" s="234">
        <v>2</v>
      </c>
      <c r="L14" s="236" t="s">
        <v>80</v>
      </c>
      <c r="M14" s="235">
        <v>30</v>
      </c>
      <c r="N14" s="235">
        <v>1</v>
      </c>
      <c r="O14" s="237">
        <v>0.55000000000000004</v>
      </c>
      <c r="P14" s="238">
        <v>16.5</v>
      </c>
      <c r="Q14" s="239">
        <v>93</v>
      </c>
      <c r="R14" s="240">
        <v>76.5</v>
      </c>
      <c r="T14" s="229">
        <v>300</v>
      </c>
      <c r="U14" s="230"/>
      <c r="V14" s="231"/>
      <c r="W14" s="230"/>
      <c r="X14" s="231"/>
      <c r="Y14" s="230"/>
      <c r="Z14" s="231"/>
      <c r="AA14" s="230"/>
      <c r="AB14" s="231"/>
      <c r="AC14" s="232"/>
      <c r="AD14" s="233"/>
      <c r="AE14" s="230"/>
      <c r="AF14" s="231"/>
      <c r="AG14" s="230"/>
      <c r="AH14" s="231"/>
      <c r="AI14" s="230"/>
      <c r="AJ14" s="231"/>
      <c r="AK14" s="230"/>
      <c r="AL14" s="231"/>
    </row>
    <row r="15" spans="2:38" x14ac:dyDescent="0.2">
      <c r="B15" s="234"/>
      <c r="C15" s="212"/>
      <c r="D15" s="212"/>
      <c r="E15" s="212"/>
      <c r="F15" s="212"/>
      <c r="G15" s="212"/>
      <c r="H15" s="212"/>
      <c r="I15" s="213"/>
      <c r="K15" s="234"/>
      <c r="L15" s="212"/>
      <c r="M15" s="212"/>
      <c r="N15" s="212"/>
      <c r="O15" s="212"/>
      <c r="P15" s="212"/>
      <c r="Q15" s="212"/>
      <c r="R15" s="213"/>
      <c r="T15" s="241">
        <v>320</v>
      </c>
      <c r="U15" s="242"/>
      <c r="V15" s="243"/>
      <c r="W15" s="242"/>
      <c r="X15" s="243"/>
      <c r="Y15" s="242"/>
      <c r="Z15" s="243"/>
      <c r="AA15" s="242"/>
      <c r="AB15" s="243"/>
      <c r="AC15" s="244"/>
      <c r="AD15" s="245"/>
      <c r="AE15" s="242"/>
      <c r="AF15" s="243"/>
      <c r="AG15" s="242"/>
      <c r="AH15" s="243"/>
      <c r="AI15" s="242"/>
      <c r="AJ15" s="243"/>
      <c r="AK15" s="242"/>
      <c r="AL15" s="243"/>
    </row>
    <row r="16" spans="2:38" ht="13.5" thickBot="1" x14ac:dyDescent="0.25">
      <c r="B16" s="246"/>
      <c r="C16" s="247"/>
      <c r="D16" s="247"/>
      <c r="E16" s="247"/>
      <c r="F16" s="247"/>
      <c r="G16" s="248" t="s">
        <v>81</v>
      </c>
      <c r="H16" s="249">
        <v>112.6</v>
      </c>
      <c r="I16" s="250">
        <v>74.8</v>
      </c>
      <c r="K16" s="246"/>
      <c r="L16" s="247"/>
      <c r="M16" s="247"/>
      <c r="N16" s="247"/>
      <c r="O16" s="247"/>
      <c r="P16" s="248" t="s">
        <v>81</v>
      </c>
      <c r="Q16" s="249">
        <v>146.4</v>
      </c>
      <c r="R16" s="250">
        <v>103.7</v>
      </c>
    </row>
    <row r="17" spans="2:20" ht="13.5" thickBot="1" x14ac:dyDescent="0.25">
      <c r="T17" s="201" t="s">
        <v>133</v>
      </c>
    </row>
    <row r="18" spans="2:20" x14ac:dyDescent="0.2">
      <c r="B18" s="1183" t="s">
        <v>82</v>
      </c>
      <c r="C18" s="1184"/>
      <c r="K18" s="1183" t="s">
        <v>83</v>
      </c>
      <c r="L18" s="1184"/>
      <c r="T18" s="1" t="s">
        <v>132</v>
      </c>
    </row>
    <row r="19" spans="2:20" ht="13.5" thickBot="1" x14ac:dyDescent="0.25">
      <c r="B19" s="1188"/>
      <c r="C19" s="1189"/>
      <c r="K19" s="1185"/>
      <c r="L19" s="1186"/>
      <c r="T19" s="1" t="s">
        <v>134</v>
      </c>
    </row>
    <row r="20" spans="2:20" x14ac:dyDescent="0.2">
      <c r="B20" s="207" t="s">
        <v>65</v>
      </c>
      <c r="C20" s="208"/>
      <c r="D20" s="208"/>
      <c r="E20" s="208"/>
      <c r="F20" s="208"/>
      <c r="G20" s="208"/>
      <c r="H20" s="208"/>
      <c r="I20" s="209"/>
      <c r="K20" s="207" t="s">
        <v>65</v>
      </c>
      <c r="L20" s="183"/>
      <c r="M20" s="183"/>
      <c r="N20" s="183"/>
      <c r="O20" s="183"/>
      <c r="P20" s="183"/>
      <c r="Q20" s="183"/>
      <c r="R20" s="210"/>
    </row>
    <row r="21" spans="2:20" x14ac:dyDescent="0.2">
      <c r="B21" s="251" t="s">
        <v>84</v>
      </c>
      <c r="C21" s="212"/>
      <c r="D21" s="212" t="s">
        <v>522</v>
      </c>
      <c r="E21" s="212"/>
      <c r="F21" s="212"/>
      <c r="G21" s="212"/>
      <c r="H21" s="212"/>
      <c r="I21" s="213"/>
      <c r="J21" s="195"/>
      <c r="K21" s="251" t="s">
        <v>84</v>
      </c>
      <c r="L21" s="212"/>
      <c r="M21" s="212"/>
      <c r="N21" s="421" t="s">
        <v>376</v>
      </c>
      <c r="O21" s="421"/>
      <c r="P21" s="212"/>
      <c r="Q21" s="212"/>
      <c r="R21" s="213"/>
    </row>
    <row r="22" spans="2:20" x14ac:dyDescent="0.2">
      <c r="B22" s="211"/>
      <c r="C22" s="212"/>
      <c r="D22" s="212"/>
      <c r="E22" s="212"/>
      <c r="F22" s="212"/>
      <c r="G22" s="212"/>
      <c r="H22" s="212"/>
      <c r="I22" s="213"/>
      <c r="J22" s="195"/>
      <c r="K22" s="234"/>
      <c r="L22" s="212"/>
      <c r="M22" s="212"/>
      <c r="N22" s="212"/>
      <c r="O22" s="212"/>
      <c r="P22" s="212"/>
      <c r="Q22" s="212"/>
      <c r="R22" s="213"/>
    </row>
    <row r="23" spans="2:20" x14ac:dyDescent="0.2">
      <c r="B23" s="219" t="s">
        <v>70</v>
      </c>
      <c r="C23" s="212"/>
      <c r="D23" s="212"/>
      <c r="E23" s="212"/>
      <c r="F23" s="212"/>
      <c r="G23" s="212"/>
      <c r="H23" s="212"/>
      <c r="I23" s="213"/>
      <c r="J23" s="195"/>
      <c r="K23" s="219" t="s">
        <v>70</v>
      </c>
      <c r="L23" s="220"/>
      <c r="M23" s="220"/>
      <c r="N23" s="220"/>
      <c r="O23" s="220"/>
      <c r="P23" s="220"/>
      <c r="Q23" s="220"/>
      <c r="R23" s="221"/>
    </row>
    <row r="24" spans="2:20" x14ac:dyDescent="0.2">
      <c r="B24" s="211" t="s">
        <v>71</v>
      </c>
      <c r="C24" s="227" t="s">
        <v>19</v>
      </c>
      <c r="D24" s="227" t="s">
        <v>72</v>
      </c>
      <c r="E24" s="227" t="s">
        <v>73</v>
      </c>
      <c r="F24" s="227" t="s">
        <v>74</v>
      </c>
      <c r="G24" s="227" t="s">
        <v>75</v>
      </c>
      <c r="H24" s="227" t="s">
        <v>76</v>
      </c>
      <c r="I24" s="228" t="s">
        <v>77</v>
      </c>
      <c r="K24" s="211" t="s">
        <v>71</v>
      </c>
      <c r="L24" s="227" t="s">
        <v>19</v>
      </c>
      <c r="M24" s="227" t="s">
        <v>72</v>
      </c>
      <c r="N24" s="227" t="s">
        <v>73</v>
      </c>
      <c r="O24" s="227" t="s">
        <v>74</v>
      </c>
      <c r="P24" s="227" t="s">
        <v>75</v>
      </c>
      <c r="Q24" s="227" t="s">
        <v>76</v>
      </c>
      <c r="R24" s="228" t="s">
        <v>77</v>
      </c>
    </row>
    <row r="25" spans="2:20" x14ac:dyDescent="0.2">
      <c r="B25" s="234">
        <v>0</v>
      </c>
      <c r="C25" s="212" t="s">
        <v>78</v>
      </c>
      <c r="D25" s="212"/>
      <c r="E25" s="212"/>
      <c r="F25" s="212"/>
      <c r="G25" s="235">
        <v>17</v>
      </c>
      <c r="H25" s="212">
        <v>17</v>
      </c>
      <c r="I25" s="213">
        <v>0</v>
      </c>
      <c r="K25" s="234">
        <v>0</v>
      </c>
      <c r="L25" s="212" t="s">
        <v>78</v>
      </c>
      <c r="M25" s="212"/>
      <c r="N25" s="212"/>
      <c r="O25" s="212"/>
      <c r="P25" s="235">
        <v>25</v>
      </c>
      <c r="Q25" s="212">
        <v>25</v>
      </c>
      <c r="R25" s="213">
        <v>0</v>
      </c>
    </row>
    <row r="26" spans="2:20" x14ac:dyDescent="0.2">
      <c r="B26" s="234">
        <v>1</v>
      </c>
      <c r="C26" s="236" t="s">
        <v>79</v>
      </c>
      <c r="D26" s="235">
        <v>10</v>
      </c>
      <c r="E26" s="235">
        <v>1</v>
      </c>
      <c r="F26" s="237">
        <v>0.4</v>
      </c>
      <c r="G26" s="238">
        <v>4</v>
      </c>
      <c r="H26" s="239">
        <v>21.5</v>
      </c>
      <c r="I26" s="240">
        <v>17.5</v>
      </c>
      <c r="K26" s="234">
        <v>1</v>
      </c>
      <c r="L26" s="236" t="s">
        <v>79</v>
      </c>
      <c r="M26" s="235">
        <v>12</v>
      </c>
      <c r="N26" s="235">
        <v>1</v>
      </c>
      <c r="O26" s="237">
        <v>0.45</v>
      </c>
      <c r="P26" s="238">
        <v>5.4</v>
      </c>
      <c r="Q26" s="239">
        <v>25.799999999999997</v>
      </c>
      <c r="R26" s="240">
        <v>20.399999999999999</v>
      </c>
    </row>
    <row r="27" spans="2:20" x14ac:dyDescent="0.2">
      <c r="B27" s="234">
        <v>2</v>
      </c>
      <c r="C27" s="236" t="s">
        <v>80</v>
      </c>
      <c r="D27" s="235">
        <v>12</v>
      </c>
      <c r="E27" s="235">
        <v>1</v>
      </c>
      <c r="F27" s="237">
        <v>0.55000000000000004</v>
      </c>
      <c r="G27" s="238">
        <v>6.6000000000000005</v>
      </c>
      <c r="H27" s="239">
        <v>37.200000000000003</v>
      </c>
      <c r="I27" s="240">
        <v>30.6</v>
      </c>
      <c r="K27" s="234">
        <v>2</v>
      </c>
      <c r="L27" s="236" t="s">
        <v>80</v>
      </c>
      <c r="M27" s="235">
        <v>22</v>
      </c>
      <c r="N27" s="235">
        <v>2</v>
      </c>
      <c r="O27" s="237">
        <v>0.55000000000000004</v>
      </c>
      <c r="P27" s="238">
        <v>12.100000000000001</v>
      </c>
      <c r="Q27" s="239">
        <v>112.2</v>
      </c>
      <c r="R27" s="240">
        <v>100.1</v>
      </c>
    </row>
    <row r="28" spans="2:20" x14ac:dyDescent="0.2">
      <c r="B28" s="234"/>
      <c r="C28" s="212"/>
      <c r="D28" s="212"/>
      <c r="E28" s="212"/>
      <c r="F28" s="212"/>
      <c r="G28" s="212"/>
      <c r="H28" s="212"/>
      <c r="I28" s="213"/>
      <c r="K28" s="234"/>
      <c r="L28" s="212"/>
      <c r="M28" s="212"/>
      <c r="N28" s="212"/>
      <c r="O28" s="212"/>
      <c r="P28" s="212"/>
      <c r="Q28" s="212"/>
      <c r="R28" s="213"/>
    </row>
    <row r="29" spans="2:20" ht="13.5" thickBot="1" x14ac:dyDescent="0.25">
      <c r="B29" s="246"/>
      <c r="C29" s="247"/>
      <c r="D29" s="247"/>
      <c r="E29" s="247"/>
      <c r="F29" s="247"/>
      <c r="G29" s="248" t="s">
        <v>81</v>
      </c>
      <c r="H29" s="249">
        <v>75.7</v>
      </c>
      <c r="I29" s="250">
        <v>48.1</v>
      </c>
      <c r="K29" s="246"/>
      <c r="L29" s="247"/>
      <c r="M29" s="247"/>
      <c r="N29" s="247"/>
      <c r="O29" s="247"/>
      <c r="P29" s="248" t="s">
        <v>81</v>
      </c>
      <c r="Q29" s="249">
        <v>163</v>
      </c>
      <c r="R29" s="250">
        <v>120.5</v>
      </c>
    </row>
    <row r="30" spans="2:20" ht="13.5" thickBot="1" x14ac:dyDescent="0.25"/>
    <row r="31" spans="2:20" x14ac:dyDescent="0.2">
      <c r="B31" s="1183" t="s">
        <v>85</v>
      </c>
      <c r="C31" s="1184"/>
      <c r="K31" s="1183" t="s">
        <v>86</v>
      </c>
      <c r="L31" s="1184"/>
    </row>
    <row r="32" spans="2:20" ht="13.5" thickBot="1" x14ac:dyDescent="0.25">
      <c r="B32" s="1188"/>
      <c r="C32" s="1189"/>
      <c r="K32" s="1185"/>
      <c r="L32" s="1186"/>
    </row>
    <row r="33" spans="2:18" x14ac:dyDescent="0.2">
      <c r="B33" s="207" t="s">
        <v>65</v>
      </c>
      <c r="C33" s="183"/>
      <c r="D33" s="183"/>
      <c r="E33" s="183"/>
      <c r="F33" s="183"/>
      <c r="G33" s="183"/>
      <c r="H33" s="183"/>
      <c r="I33" s="210"/>
      <c r="J33" s="195"/>
      <c r="K33" s="207" t="s">
        <v>65</v>
      </c>
      <c r="L33" s="183"/>
      <c r="M33" s="183"/>
      <c r="N33" s="183"/>
      <c r="O33" s="183"/>
      <c r="P33" s="183"/>
      <c r="Q33" s="183"/>
      <c r="R33" s="210"/>
    </row>
    <row r="34" spans="2:18" x14ac:dyDescent="0.2">
      <c r="B34" s="251" t="s">
        <v>84</v>
      </c>
      <c r="C34" s="212"/>
      <c r="D34" s="421" t="s">
        <v>376</v>
      </c>
      <c r="E34" s="421"/>
      <c r="F34" s="212"/>
      <c r="G34" s="212"/>
      <c r="H34" s="212"/>
      <c r="I34" s="213"/>
      <c r="J34" s="195"/>
      <c r="K34" s="251" t="s">
        <v>84</v>
      </c>
      <c r="L34" s="212"/>
      <c r="M34" s="212"/>
      <c r="N34" s="212"/>
      <c r="O34" s="212"/>
      <c r="P34" s="212"/>
      <c r="Q34" s="212"/>
      <c r="R34" s="213"/>
    </row>
    <row r="35" spans="2:18" x14ac:dyDescent="0.2">
      <c r="B35" s="251"/>
      <c r="C35" s="212"/>
      <c r="D35" s="212"/>
      <c r="E35" s="212"/>
      <c r="F35" s="212"/>
      <c r="G35" s="212"/>
      <c r="H35" s="212"/>
      <c r="I35" s="213"/>
      <c r="J35" s="195"/>
      <c r="K35" s="251"/>
      <c r="L35" s="212"/>
      <c r="M35" s="212"/>
      <c r="N35" s="212"/>
      <c r="O35" s="212"/>
      <c r="P35" s="212"/>
      <c r="Q35" s="212"/>
      <c r="R35" s="213"/>
    </row>
    <row r="36" spans="2:18" x14ac:dyDescent="0.2">
      <c r="B36" s="219" t="s">
        <v>70</v>
      </c>
      <c r="C36" s="212"/>
      <c r="D36" s="212"/>
      <c r="E36" s="212"/>
      <c r="F36" s="212"/>
      <c r="G36" s="212"/>
      <c r="H36" s="212"/>
      <c r="I36" s="213"/>
      <c r="J36" s="195"/>
      <c r="K36" s="219" t="s">
        <v>70</v>
      </c>
      <c r="L36" s="220"/>
      <c r="M36" s="220"/>
      <c r="N36" s="220"/>
      <c r="O36" s="220"/>
      <c r="P36" s="220"/>
      <c r="Q36" s="220"/>
      <c r="R36" s="221"/>
    </row>
    <row r="37" spans="2:18" x14ac:dyDescent="0.2">
      <c r="B37" s="211" t="s">
        <v>71</v>
      </c>
      <c r="C37" s="227" t="s">
        <v>19</v>
      </c>
      <c r="D37" s="227" t="s">
        <v>72</v>
      </c>
      <c r="E37" s="227" t="s">
        <v>73</v>
      </c>
      <c r="F37" s="227" t="s">
        <v>74</v>
      </c>
      <c r="G37" s="227" t="s">
        <v>75</v>
      </c>
      <c r="H37" s="227" t="s">
        <v>76</v>
      </c>
      <c r="I37" s="228" t="s">
        <v>77</v>
      </c>
      <c r="K37" s="211" t="s">
        <v>71</v>
      </c>
      <c r="L37" s="227" t="s">
        <v>19</v>
      </c>
      <c r="M37" s="227" t="s">
        <v>72</v>
      </c>
      <c r="N37" s="227" t="s">
        <v>73</v>
      </c>
      <c r="O37" s="227" t="s">
        <v>74</v>
      </c>
      <c r="P37" s="227" t="s">
        <v>75</v>
      </c>
      <c r="Q37" s="227" t="s">
        <v>76</v>
      </c>
      <c r="R37" s="228" t="s">
        <v>77</v>
      </c>
    </row>
    <row r="38" spans="2:18" x14ac:dyDescent="0.2">
      <c r="B38" s="234">
        <v>0</v>
      </c>
      <c r="C38" s="212" t="s">
        <v>78</v>
      </c>
      <c r="D38" s="212"/>
      <c r="E38" s="212"/>
      <c r="F38" s="212"/>
      <c r="G38" s="235">
        <v>19</v>
      </c>
      <c r="H38" s="212">
        <v>19</v>
      </c>
      <c r="I38" s="213">
        <v>0</v>
      </c>
      <c r="K38" s="234">
        <v>0</v>
      </c>
      <c r="L38" s="212" t="s">
        <v>78</v>
      </c>
      <c r="M38" s="212"/>
      <c r="N38" s="212"/>
      <c r="O38" s="212"/>
      <c r="P38" s="235">
        <v>31</v>
      </c>
      <c r="Q38" s="212">
        <v>31</v>
      </c>
      <c r="R38" s="213">
        <v>0</v>
      </c>
    </row>
    <row r="39" spans="2:18" x14ac:dyDescent="0.2">
      <c r="B39" s="234">
        <v>1</v>
      </c>
      <c r="C39" s="236" t="s">
        <v>79</v>
      </c>
      <c r="D39" s="235">
        <v>10</v>
      </c>
      <c r="E39" s="235">
        <v>1</v>
      </c>
      <c r="F39" s="237">
        <v>0.3</v>
      </c>
      <c r="G39" s="238">
        <v>3</v>
      </c>
      <c r="H39" s="239">
        <v>21.5</v>
      </c>
      <c r="I39" s="240">
        <v>18.5</v>
      </c>
      <c r="K39" s="234">
        <v>1</v>
      </c>
      <c r="L39" s="236" t="s">
        <v>80</v>
      </c>
      <c r="M39" s="235">
        <v>10</v>
      </c>
      <c r="N39" s="235">
        <v>1</v>
      </c>
      <c r="O39" s="237">
        <v>0.3</v>
      </c>
      <c r="P39" s="238">
        <v>3</v>
      </c>
      <c r="Q39" s="239">
        <v>31</v>
      </c>
      <c r="R39" s="240">
        <v>28</v>
      </c>
    </row>
    <row r="40" spans="2:18" x14ac:dyDescent="0.2">
      <c r="B40" s="234">
        <v>2</v>
      </c>
      <c r="C40" s="236" t="s">
        <v>87</v>
      </c>
      <c r="D40" s="235">
        <v>12</v>
      </c>
      <c r="E40" s="235">
        <v>2</v>
      </c>
      <c r="F40" s="237">
        <v>0.53</v>
      </c>
      <c r="G40" s="238">
        <v>6.36</v>
      </c>
      <c r="H40" s="239">
        <v>48.599999999999994</v>
      </c>
      <c r="I40" s="240">
        <v>42.239999999999995</v>
      </c>
      <c r="K40" s="234">
        <v>2</v>
      </c>
      <c r="L40" s="236" t="s">
        <v>80</v>
      </c>
      <c r="M40" s="235">
        <v>6</v>
      </c>
      <c r="N40" s="235">
        <v>2</v>
      </c>
      <c r="O40" s="237">
        <v>0.55000000000000004</v>
      </c>
      <c r="P40" s="238">
        <v>3.3000000000000003</v>
      </c>
      <c r="Q40" s="239">
        <v>30.6</v>
      </c>
      <c r="R40" s="240">
        <v>27.3</v>
      </c>
    </row>
    <row r="41" spans="2:18" x14ac:dyDescent="0.2">
      <c r="B41" s="234"/>
      <c r="C41" s="212"/>
      <c r="D41" s="212"/>
      <c r="E41" s="212"/>
      <c r="F41" s="212"/>
      <c r="G41" s="212"/>
      <c r="H41" s="212"/>
      <c r="I41" s="213"/>
      <c r="J41" s="195"/>
      <c r="K41" s="234"/>
      <c r="L41" s="212"/>
      <c r="M41" s="212"/>
      <c r="N41" s="212"/>
      <c r="O41" s="212"/>
      <c r="P41" s="212"/>
      <c r="Q41" s="212"/>
      <c r="R41" s="213"/>
    </row>
    <row r="42" spans="2:18" ht="13.5" thickBot="1" x14ac:dyDescent="0.25">
      <c r="B42" s="246"/>
      <c r="C42" s="247"/>
      <c r="D42" s="247"/>
      <c r="E42" s="247"/>
      <c r="F42" s="247"/>
      <c r="G42" s="248" t="s">
        <v>81</v>
      </c>
      <c r="H42" s="249">
        <v>89.1</v>
      </c>
      <c r="I42" s="250">
        <v>60.739999999999995</v>
      </c>
      <c r="K42" s="246"/>
      <c r="L42" s="247"/>
      <c r="M42" s="247"/>
      <c r="N42" s="247"/>
      <c r="O42" s="247"/>
      <c r="P42" s="248" t="s">
        <v>81</v>
      </c>
      <c r="Q42" s="249">
        <v>92.6</v>
      </c>
      <c r="R42" s="250">
        <v>55.3</v>
      </c>
    </row>
  </sheetData>
  <mergeCells count="10">
    <mergeCell ref="T2:AB3"/>
    <mergeCell ref="AC5:AD5"/>
    <mergeCell ref="K18:L19"/>
    <mergeCell ref="K31:L32"/>
    <mergeCell ref="B2:G3"/>
    <mergeCell ref="B5:C6"/>
    <mergeCell ref="K2:P3"/>
    <mergeCell ref="B18:C19"/>
    <mergeCell ref="B31:C32"/>
    <mergeCell ref="K5:L6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CDA1D-821E-4108-BBD1-BFEE27DA6909}">
  <dimension ref="A1:AN65"/>
  <sheetViews>
    <sheetView showGridLines="0" topLeftCell="J22" zoomScale="85" zoomScaleNormal="85" workbookViewId="0">
      <selection activeCell="E38" sqref="E38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14.14062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1101"/>
      <c r="L2" s="1102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0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0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0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0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0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91" t="s">
        <v>384</v>
      </c>
      <c r="D8" s="1191"/>
      <c r="E8" s="1191"/>
      <c r="F8" s="1191"/>
      <c r="G8" s="1191"/>
      <c r="H8" s="1192"/>
      <c r="J8" s="262" t="s">
        <v>385</v>
      </c>
      <c r="K8" s="252">
        <v>0.45</v>
      </c>
      <c r="L8" s="87" t="s">
        <v>184</v>
      </c>
      <c r="M8" s="381"/>
      <c r="AC8" s="1190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0"/>
      <c r="AD9" s="467" t="s">
        <v>407</v>
      </c>
      <c r="AE9" s="1193" t="s">
        <v>408</v>
      </c>
      <c r="AF9" s="1193"/>
      <c r="AG9" s="1103" t="s">
        <v>409</v>
      </c>
      <c r="AH9" s="1103" t="s">
        <v>410</v>
      </c>
      <c r="AI9" s="1103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0.25893325934107547</v>
      </c>
      <c r="D10" s="145">
        <f>$K$3*$K$9*9.81/($K$16+$K$17+($B10*$K$24/($B10+$K$24))+(D$2*$K$22/(D$2+$K$22)))</f>
        <v>0.27976750189690885</v>
      </c>
      <c r="E10" s="145">
        <f>$K$3*$K$9*9.81/($K$16+$K$17+($B10*$K$24/($B10+$K$24))+(E$2*$K$22/(E$2+$K$22)))</f>
        <v>0.2884897416269056</v>
      </c>
      <c r="F10" s="145">
        <f>$K$3*$K$9*9.81/($K$16+$K$17+($B10*$K$24/($B10+$K$24))+(F$2*$K$22/(F$2+$K$22)))</f>
        <v>0.29773471167030557</v>
      </c>
      <c r="G10" s="145"/>
      <c r="H10" s="146"/>
      <c r="J10" s="99"/>
      <c r="L10" s="87"/>
      <c r="M10" s="381"/>
      <c r="AC10" s="1190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0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0.26388812698727482</v>
      </c>
      <c r="D12" s="145">
        <f t="shared" si="0"/>
        <v>0.28556072304426705</v>
      </c>
      <c r="E12" s="999">
        <f t="shared" si="0"/>
        <v>0.29465380069209796</v>
      </c>
      <c r="F12" s="145">
        <f t="shared" si="0"/>
        <v>0.30430466755597546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0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0.26651039619327765</v>
      </c>
      <c r="D13" s="145">
        <f t="shared" si="0"/>
        <v>0.28863391081409945</v>
      </c>
      <c r="E13" s="558">
        <f t="shared" si="0"/>
        <v>0.29792694459591562</v>
      </c>
      <c r="F13" s="145">
        <f t="shared" si="0"/>
        <v>0.30779700558957968</v>
      </c>
      <c r="G13" s="145"/>
      <c r="H13" s="146"/>
      <c r="J13" s="99"/>
      <c r="L13" s="87"/>
      <c r="M13" s="381"/>
      <c r="AC13" s="1190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0.27087276756690248</v>
      </c>
      <c r="D14" s="145">
        <f t="shared" si="0"/>
        <v>0.29375756185821811</v>
      </c>
      <c r="E14" s="145">
        <f t="shared" si="0"/>
        <v>0.30338895705642099</v>
      </c>
      <c r="F14" s="145">
        <f t="shared" si="0"/>
        <v>0.31363045934614814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90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151</v>
      </c>
      <c r="L15" s="87" t="s">
        <v>69</v>
      </c>
      <c r="M15" s="381">
        <v>950</v>
      </c>
      <c r="AC15" s="1190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0.27454435925117426</v>
      </c>
      <c r="D16" s="145">
        <f t="shared" si="1"/>
        <v>0.29808070309586598</v>
      </c>
      <c r="E16" s="145">
        <f t="shared" si="1"/>
        <v>0.30800245632785533</v>
      </c>
      <c r="F16" s="145">
        <f t="shared" si="1"/>
        <v>0.31856322381529401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90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0.27823720235487115</v>
      </c>
      <c r="D17" s="145">
        <f t="shared" si="1"/>
        <v>0.30243887757126359</v>
      </c>
      <c r="E17" s="145">
        <f t="shared" si="1"/>
        <v>0.31265785259503337</v>
      </c>
      <c r="F17" s="145">
        <f t="shared" si="1"/>
        <v>0.32354592339468674</v>
      </c>
      <c r="G17" s="145"/>
      <c r="H17" s="146"/>
      <c r="J17" s="262" t="s">
        <v>393</v>
      </c>
      <c r="K17" s="278">
        <f>(K15*K23/(K15+K23)*1000)*((2*$K$12)^2/2)*(6.28/360)</f>
        <v>3413.9391900507389</v>
      </c>
      <c r="L17" s="87" t="s">
        <v>392</v>
      </c>
      <c r="M17" s="381"/>
      <c r="AC17" s="1190"/>
      <c r="AD17" s="495" t="s">
        <v>419</v>
      </c>
      <c r="AE17" s="1194" t="s">
        <v>420</v>
      </c>
      <c r="AF17" s="1195"/>
      <c r="AG17" s="1195"/>
      <c r="AH17" s="1196"/>
      <c r="AI17" s="1195" t="s">
        <v>421</v>
      </c>
      <c r="AJ17" s="1195"/>
      <c r="AK17" s="1195"/>
      <c r="AL17" s="1197"/>
    </row>
    <row r="18" spans="2:40" ht="15.75" thickBot="1" x14ac:dyDescent="0.3">
      <c r="B18" s="444">
        <v>1009.0731614400001</v>
      </c>
      <c r="C18" s="145">
        <f t="shared" si="1"/>
        <v>0.28129633385984976</v>
      </c>
      <c r="D18" s="145">
        <f t="shared" si="1"/>
        <v>0.30605679390102425</v>
      </c>
      <c r="E18" s="145">
        <f t="shared" si="1"/>
        <v>0.31652595123199972</v>
      </c>
      <c r="F18" s="145">
        <f t="shared" si="1"/>
        <v>0.32768990550700211</v>
      </c>
      <c r="G18" s="145"/>
      <c r="H18" s="146"/>
      <c r="J18" s="100"/>
      <c r="K18" s="88"/>
      <c r="L18" s="142"/>
      <c r="M18" s="381"/>
      <c r="AC18" s="1190"/>
      <c r="AD18" s="496">
        <v>1</v>
      </c>
      <c r="AE18" s="1198">
        <v>40.9</v>
      </c>
      <c r="AF18" s="1199"/>
      <c r="AG18" s="1199"/>
      <c r="AH18" s="1200"/>
      <c r="AI18" s="1199">
        <v>30.6</v>
      </c>
      <c r="AJ18" s="1199"/>
      <c r="AK18" s="1199"/>
      <c r="AL18" s="1201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0"/>
      <c r="AD19" s="496">
        <v>2</v>
      </c>
      <c r="AE19" s="1198">
        <v>30.6</v>
      </c>
      <c r="AF19" s="1199"/>
      <c r="AG19" s="1199"/>
      <c r="AH19" s="1200"/>
      <c r="AI19" s="1202">
        <v>23</v>
      </c>
      <c r="AJ19" s="1202"/>
      <c r="AK19" s="1202"/>
      <c r="AL19" s="1203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0.28601327441660562</v>
      </c>
      <c r="D20" s="145">
        <f t="shared" si="2"/>
        <v>0.31164893096113011</v>
      </c>
      <c r="E20" s="145">
        <f t="shared" si="2"/>
        <v>0.32251094807650627</v>
      </c>
      <c r="F20" s="145">
        <f t="shared" si="2"/>
        <v>0.33410881328581937</v>
      </c>
      <c r="G20" s="145"/>
      <c r="H20" s="146"/>
      <c r="J20" s="86" t="s">
        <v>394</v>
      </c>
      <c r="K20" s="69"/>
      <c r="L20" s="70"/>
      <c r="M20" s="381"/>
      <c r="AC20" s="1190"/>
      <c r="AD20" s="513">
        <v>3</v>
      </c>
      <c r="AE20" s="1204">
        <v>23</v>
      </c>
      <c r="AF20" s="1205"/>
      <c r="AG20" s="1205"/>
      <c r="AH20" s="1206"/>
      <c r="AI20" s="1205">
        <v>17.2</v>
      </c>
      <c r="AJ20" s="1205"/>
      <c r="AK20" s="1205"/>
      <c r="AL20" s="1215"/>
    </row>
    <row r="21" spans="2:40" ht="15.75" thickBot="1" x14ac:dyDescent="0.3">
      <c r="B21" s="438">
        <v>760</v>
      </c>
      <c r="C21" s="145">
        <f t="shared" si="2"/>
        <v>0.28833893400991101</v>
      </c>
      <c r="D21" s="558">
        <f t="shared" si="2"/>
        <v>0.31441219055597558</v>
      </c>
      <c r="E21" s="558">
        <f t="shared" si="2"/>
        <v>0.32547109698448407</v>
      </c>
      <c r="F21" s="145">
        <f t="shared" si="2"/>
        <v>0.33728673993101382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0"/>
      <c r="AD21" s="497">
        <v>4</v>
      </c>
      <c r="AE21" s="1216">
        <v>17.2</v>
      </c>
      <c r="AF21" s="1217"/>
      <c r="AG21" s="1217"/>
      <c r="AH21" s="1218"/>
      <c r="AI21" s="1217">
        <v>12.9</v>
      </c>
      <c r="AJ21" s="1217"/>
      <c r="AK21" s="1217"/>
      <c r="AL21" s="1219"/>
    </row>
    <row r="22" spans="2:40" x14ac:dyDescent="0.25">
      <c r="B22" s="438">
        <v>672.71544096000025</v>
      </c>
      <c r="C22" s="145">
        <f t="shared" si="2"/>
        <v>0.29089110576249011</v>
      </c>
      <c r="D22" s="558">
        <f t="shared" si="2"/>
        <v>0.31744922568232659</v>
      </c>
      <c r="E22" s="558">
        <f t="shared" si="2"/>
        <v>0.32872664043062355</v>
      </c>
      <c r="F22" s="145">
        <f t="shared" si="2"/>
        <v>0.34078421725405933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0.31218802784074334</v>
      </c>
      <c r="D23" s="450">
        <f t="shared" si="2"/>
        <v>0.34298312745428916</v>
      </c>
      <c r="E23" s="450">
        <f t="shared" si="2"/>
        <v>0.35618541752861865</v>
      </c>
      <c r="F23" s="450">
        <f t="shared" si="2"/>
        <v>0.37038498688177762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91" t="s">
        <v>395</v>
      </c>
      <c r="D25" s="1191"/>
      <c r="E25" s="1191"/>
      <c r="F25" s="1191"/>
      <c r="G25" s="1191"/>
      <c r="H25" s="1192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559">
        <f>((C$2*$K$22/(C$2+$K$22))+$K$16)/((C$2*$K$22/(C$2+$K$22))+($B27*$K$24/($B27+$K$24))+$K$16+$K$17)</f>
        <v>0.52125009687264812</v>
      </c>
      <c r="D27" s="559">
        <f>((D$2*$K$22/(D$2+$K$22))+$K$16)/((D$2*$K$22/(D$2+$K$22))+($B27*$K$24/($B27+$K$24))+$K$16+$K$17)</f>
        <v>0.48272900602970475</v>
      </c>
      <c r="E27" s="559">
        <f>((E$2*$K$22/(E$2+$K$22))+$K$16)/((E$2*$K$22/(E$2+$K$22))+($B27*$K$24/($B27+$K$24))+$K$16+$K$17)</f>
        <v>0.46660218077590832</v>
      </c>
      <c r="F27" s="559">
        <f>((F$2*$K$22/(F$2+$K$22))+$K$16)/((F$2*$K$22/(F$2+$K$22))+($B27*$K$24/($B27+$K$24))+$K$16+$K$17)</f>
        <v>0.44950886289176994</v>
      </c>
      <c r="G27" s="455"/>
      <c r="H27" s="456"/>
      <c r="J27" s="1207" t="s">
        <v>396</v>
      </c>
      <c r="R27" s="453"/>
      <c r="S27" s="454"/>
    </row>
    <row r="28" spans="2:40" x14ac:dyDescent="0.25">
      <c r="B28" s="438"/>
      <c r="C28" s="559"/>
      <c r="D28" s="559"/>
      <c r="E28" s="559"/>
      <c r="F28" s="559"/>
      <c r="G28" s="455"/>
      <c r="H28" s="456"/>
      <c r="J28" s="1207"/>
      <c r="R28" s="453"/>
      <c r="S28" s="454"/>
    </row>
    <row r="29" spans="2:40" x14ac:dyDescent="0.25">
      <c r="B29" s="438">
        <v>1681.7886024000004</v>
      </c>
      <c r="C29" s="559">
        <f t="shared" ref="C29:F31" si="3">((C$2*$K$22/(C$2+$K$22))+$K$16)/((C$2*$K$22/(C$2+$K$22))+($B29*$K$24/($B29+$K$24))+$K$16+$K$17)</f>
        <v>0.53122457928230449</v>
      </c>
      <c r="D29" s="559">
        <f t="shared" si="3"/>
        <v>0.49272500580527906</v>
      </c>
      <c r="E29" s="559">
        <f t="shared" si="3"/>
        <v>0.47657190582065501</v>
      </c>
      <c r="F29" s="559">
        <f t="shared" si="3"/>
        <v>0.45942793945106231</v>
      </c>
      <c r="G29" s="455"/>
      <c r="H29" s="456"/>
      <c r="R29" s="453"/>
      <c r="S29" s="454"/>
    </row>
    <row r="30" spans="2:40" x14ac:dyDescent="0.25">
      <c r="B30" s="438">
        <v>1574.8327483000005</v>
      </c>
      <c r="C30" s="559">
        <f t="shared" si="3"/>
        <v>0.53650338387130725</v>
      </c>
      <c r="D30" s="559">
        <f t="shared" si="3"/>
        <v>0.49802768344801868</v>
      </c>
      <c r="E30" s="559">
        <f t="shared" si="3"/>
        <v>0.48186587598022407</v>
      </c>
      <c r="F30" s="559">
        <f t="shared" si="3"/>
        <v>0.46470054233136548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559">
        <f t="shared" si="3"/>
        <v>0.54528513136439838</v>
      </c>
      <c r="D31" s="559">
        <f t="shared" si="3"/>
        <v>0.50686836350914255</v>
      </c>
      <c r="E31" s="559">
        <f t="shared" si="3"/>
        <v>0.49070011358993776</v>
      </c>
      <c r="F31" s="559">
        <f t="shared" si="3"/>
        <v>0.47350767519852849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559"/>
      <c r="D32" s="559"/>
      <c r="E32" s="559"/>
      <c r="F32" s="559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559">
        <f t="shared" ref="C33:F35" si="4">((C$2*$K$22/(C$2+$K$22))+$K$16)/((C$2*$K$22/(C$2+$K$22))+($B33*$K$24/($B33+$K$24))+$K$16+$K$17)</f>
        <v>0.55267629280103159</v>
      </c>
      <c r="D33" s="559">
        <f t="shared" si="4"/>
        <v>0.5143277919932443</v>
      </c>
      <c r="E33" s="559">
        <f t="shared" si="4"/>
        <v>0.49816196928338335</v>
      </c>
      <c r="F33" s="559">
        <f t="shared" si="4"/>
        <v>0.48095498067056891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559">
        <f t="shared" si="4"/>
        <v>0.56011023477679744</v>
      </c>
      <c r="D34" s="559">
        <f t="shared" si="4"/>
        <v>0.52184766909958513</v>
      </c>
      <c r="E34" s="998">
        <f t="shared" si="4"/>
        <v>0.50569158901402367</v>
      </c>
      <c r="F34" s="559">
        <f t="shared" si="4"/>
        <v>0.48847767632637251</v>
      </c>
      <c r="G34" s="455"/>
      <c r="H34" s="456"/>
      <c r="R34" s="453"/>
      <c r="S34" s="454"/>
    </row>
    <row r="35" spans="2:40" x14ac:dyDescent="0.25">
      <c r="B35" s="438">
        <v>1009.0731614400001</v>
      </c>
      <c r="C35" s="559">
        <f t="shared" si="4"/>
        <v>0.56626847260755775</v>
      </c>
      <c r="D35" s="559">
        <f t="shared" si="4"/>
        <v>0.52809025675512911</v>
      </c>
      <c r="E35" s="559">
        <f t="shared" si="4"/>
        <v>0.51194783663408283</v>
      </c>
      <c r="F35" s="559">
        <f t="shared" si="4"/>
        <v>0.49473410735082568</v>
      </c>
      <c r="G35" s="455"/>
      <c r="H35" s="456"/>
      <c r="R35" s="453"/>
      <c r="S35" s="454"/>
      <c r="AC35" s="1190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559"/>
      <c r="D36" s="559"/>
      <c r="E36" s="559"/>
      <c r="F36" s="559"/>
      <c r="G36" s="455"/>
      <c r="H36" s="456"/>
      <c r="AC36" s="1190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559">
        <f t="shared" ref="C37:F40" si="5">((C$2*$K$22/(C$2+$K$22))+$K$16)/((C$2*$K$22/(C$2+$K$22))+($B37*$K$24/($B37+$K$24))+$K$16+$K$17)</f>
        <v>0.57576399175565152</v>
      </c>
      <c r="D37" s="559">
        <f t="shared" si="5"/>
        <v>0.53773929299523349</v>
      </c>
      <c r="E37" s="559">
        <f t="shared" si="5"/>
        <v>0.5216279471428138</v>
      </c>
      <c r="F37" s="559">
        <f t="shared" si="5"/>
        <v>0.50442513706139025</v>
      </c>
      <c r="G37" s="455"/>
      <c r="H37" s="456"/>
      <c r="AC37" s="1190"/>
    </row>
    <row r="38" spans="2:40" ht="15.75" thickBot="1" x14ac:dyDescent="0.3">
      <c r="B38" s="438">
        <v>760</v>
      </c>
      <c r="C38" s="559">
        <f t="shared" si="5"/>
        <v>0.58044570121000327</v>
      </c>
      <c r="D38" s="559">
        <f t="shared" si="5"/>
        <v>0.54250720044902112</v>
      </c>
      <c r="E38" s="1096">
        <f t="shared" si="5"/>
        <v>0.52641568041920239</v>
      </c>
      <c r="F38" s="559">
        <f t="shared" si="5"/>
        <v>0.50922305324865913</v>
      </c>
      <c r="G38" s="455"/>
      <c r="H38" s="456"/>
      <c r="I38" s="1098">
        <f>B38+$K$17</f>
        <v>4173.9391900507389</v>
      </c>
      <c r="AC38" s="1190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559">
        <f t="shared" si="5"/>
        <v>0.58558339490239664</v>
      </c>
      <c r="D39" s="559">
        <f t="shared" si="5"/>
        <v>0.5477474979742174</v>
      </c>
      <c r="E39" s="559">
        <f t="shared" si="5"/>
        <v>0.53168118366730011</v>
      </c>
      <c r="F39" s="559">
        <f t="shared" si="5"/>
        <v>0.51450341523820387</v>
      </c>
      <c r="G39" s="455"/>
      <c r="H39" s="456"/>
      <c r="AC39" s="1190"/>
    </row>
    <row r="40" spans="2:40" ht="15.75" thickBot="1" x14ac:dyDescent="0.3">
      <c r="B40" s="449">
        <v>608</v>
      </c>
      <c r="C40" s="1097">
        <f t="shared" si="5"/>
        <v>0.58945174132420897</v>
      </c>
      <c r="D40" s="1097">
        <f t="shared" si="5"/>
        <v>0.5516986418925125</v>
      </c>
      <c r="E40" s="1097">
        <f t="shared" si="5"/>
        <v>0.53565369982424804</v>
      </c>
      <c r="F40" s="1097">
        <f t="shared" si="5"/>
        <v>0.51848968102807824</v>
      </c>
      <c r="G40" s="457"/>
      <c r="H40" s="458"/>
      <c r="AC40" s="1190"/>
      <c r="AD40" s="467" t="s">
        <v>423</v>
      </c>
      <c r="AE40" s="1193" t="s">
        <v>424</v>
      </c>
      <c r="AF40" s="1193"/>
      <c r="AG40" s="1103" t="s">
        <v>409</v>
      </c>
      <c r="AH40" s="1103" t="s">
        <v>410</v>
      </c>
      <c r="AI40" s="1103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0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0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0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0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0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0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0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0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0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0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0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0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0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0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0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0"/>
      <c r="AG56" s="453"/>
    </row>
    <row r="57" spans="29:40" x14ac:dyDescent="0.25">
      <c r="AC57" s="1190"/>
      <c r="AD57" s="425" t="s">
        <v>426</v>
      </c>
      <c r="AE57" s="492"/>
      <c r="AF57" s="492"/>
      <c r="AG57" s="493"/>
      <c r="AH57" s="494"/>
    </row>
    <row r="58" spans="29:40" x14ac:dyDescent="0.25">
      <c r="AC58" s="1190"/>
      <c r="AD58" s="495" t="s">
        <v>419</v>
      </c>
      <c r="AE58" s="1195" t="s">
        <v>427</v>
      </c>
      <c r="AF58" s="1195"/>
      <c r="AG58" s="1195"/>
      <c r="AH58" s="1197"/>
      <c r="AN58" s="515" t="s">
        <v>241</v>
      </c>
    </row>
    <row r="59" spans="29:40" x14ac:dyDescent="0.25">
      <c r="AC59" s="1190"/>
      <c r="AD59" s="495">
        <v>1</v>
      </c>
      <c r="AE59" s="1194">
        <v>47.4</v>
      </c>
      <c r="AF59" s="1195"/>
      <c r="AG59" s="1195"/>
      <c r="AH59" s="1197"/>
      <c r="AI59" s="380" t="s">
        <v>663</v>
      </c>
    </row>
    <row r="60" spans="29:40" x14ac:dyDescent="0.25">
      <c r="AC60" s="1190"/>
      <c r="AD60" s="513">
        <v>2</v>
      </c>
      <c r="AE60" s="1208">
        <v>42.7</v>
      </c>
      <c r="AF60" s="1209"/>
      <c r="AG60" s="1209"/>
      <c r="AH60" s="1210"/>
      <c r="AI60" s="380" t="s">
        <v>435</v>
      </c>
    </row>
    <row r="61" spans="29:40" x14ac:dyDescent="0.25">
      <c r="AC61" s="1190"/>
      <c r="AD61" s="496">
        <v>3</v>
      </c>
      <c r="AE61" s="1211">
        <v>38</v>
      </c>
      <c r="AF61" s="1202"/>
      <c r="AG61" s="1202"/>
      <c r="AH61" s="1203"/>
      <c r="AI61" s="380" t="s">
        <v>437</v>
      </c>
    </row>
    <row r="62" spans="29:40" x14ac:dyDescent="0.25">
      <c r="AC62" s="1190"/>
      <c r="AD62" s="496">
        <v>4</v>
      </c>
      <c r="AE62" s="1198">
        <v>22.8</v>
      </c>
      <c r="AF62" s="1199"/>
      <c r="AG62" s="1199"/>
      <c r="AH62" s="1201"/>
      <c r="AI62" s="380" t="s">
        <v>436</v>
      </c>
    </row>
    <row r="63" spans="29:40" ht="15.75" thickBot="1" x14ac:dyDescent="0.3">
      <c r="AC63" s="1190"/>
      <c r="AD63" s="514">
        <v>5</v>
      </c>
      <c r="AE63" s="1212">
        <v>20.6</v>
      </c>
      <c r="AF63" s="1213"/>
      <c r="AG63" s="1213"/>
      <c r="AH63" s="1214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3529-E2CD-44A3-9FAA-3AA318883439}">
  <sheetPr codeName="Sheet9"/>
  <dimension ref="A1:AN65"/>
  <sheetViews>
    <sheetView showGridLines="0" topLeftCell="A3" zoomScale="85" zoomScaleNormal="85" workbookViewId="0">
      <selection activeCell="K15" sqref="K15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14.14062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1093"/>
      <c r="L2" s="1094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0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0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0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0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0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91" t="s">
        <v>384</v>
      </c>
      <c r="D8" s="1191"/>
      <c r="E8" s="1191"/>
      <c r="F8" s="1191"/>
      <c r="G8" s="1191"/>
      <c r="H8" s="1192"/>
      <c r="J8" s="262" t="s">
        <v>385</v>
      </c>
      <c r="K8" s="252">
        <v>0.45</v>
      </c>
      <c r="L8" s="87" t="s">
        <v>184</v>
      </c>
      <c r="M8" s="381"/>
      <c r="AC8" s="1190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0"/>
      <c r="AD9" s="467" t="s">
        <v>407</v>
      </c>
      <c r="AE9" s="1193" t="s">
        <v>408</v>
      </c>
      <c r="AF9" s="1193"/>
      <c r="AG9" s="1095" t="s">
        <v>409</v>
      </c>
      <c r="AH9" s="1095" t="s">
        <v>410</v>
      </c>
      <c r="AI9" s="1095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1190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0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999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0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1190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90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1190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90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1190"/>
      <c r="AD17" s="495" t="s">
        <v>419</v>
      </c>
      <c r="AE17" s="1194" t="s">
        <v>420</v>
      </c>
      <c r="AF17" s="1195"/>
      <c r="AG17" s="1195"/>
      <c r="AH17" s="1196"/>
      <c r="AI17" s="1195" t="s">
        <v>421</v>
      </c>
      <c r="AJ17" s="1195"/>
      <c r="AK17" s="1195"/>
      <c r="AL17" s="1197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1190"/>
      <c r="AD18" s="496">
        <v>1</v>
      </c>
      <c r="AE18" s="1198">
        <v>40.9</v>
      </c>
      <c r="AF18" s="1199"/>
      <c r="AG18" s="1199"/>
      <c r="AH18" s="1200"/>
      <c r="AI18" s="1199">
        <v>30.6</v>
      </c>
      <c r="AJ18" s="1199"/>
      <c r="AK18" s="1199"/>
      <c r="AL18" s="1201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0"/>
      <c r="AD19" s="496">
        <v>2</v>
      </c>
      <c r="AE19" s="1198">
        <v>30.6</v>
      </c>
      <c r="AF19" s="1199"/>
      <c r="AG19" s="1199"/>
      <c r="AH19" s="1200"/>
      <c r="AI19" s="1202">
        <v>23</v>
      </c>
      <c r="AJ19" s="1202"/>
      <c r="AK19" s="1202"/>
      <c r="AL19" s="1203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1190"/>
      <c r="AD20" s="513">
        <v>3</v>
      </c>
      <c r="AE20" s="1204">
        <v>23</v>
      </c>
      <c r="AF20" s="1205"/>
      <c r="AG20" s="1205"/>
      <c r="AH20" s="1206"/>
      <c r="AI20" s="1205">
        <v>17.2</v>
      </c>
      <c r="AJ20" s="1205"/>
      <c r="AK20" s="1205"/>
      <c r="AL20" s="1215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0"/>
      <c r="AD21" s="497">
        <v>4</v>
      </c>
      <c r="AE21" s="1216">
        <v>17.2</v>
      </c>
      <c r="AF21" s="1217"/>
      <c r="AG21" s="1217"/>
      <c r="AH21" s="1218"/>
      <c r="AI21" s="1217">
        <v>12.9</v>
      </c>
      <c r="AJ21" s="1217"/>
      <c r="AK21" s="1217"/>
      <c r="AL21" s="1219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91" t="s">
        <v>395</v>
      </c>
      <c r="D25" s="1191"/>
      <c r="E25" s="1191"/>
      <c r="F25" s="1191"/>
      <c r="G25" s="1191"/>
      <c r="H25" s="1192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559">
        <f>((C$2*$K$22/(C$2+$K$22))+$K$16)/((C$2*$K$22/(C$2+$K$22))+($B27*$K$24/($B27+$K$24))+$K$16+$K$17)</f>
        <v>0.53998430960862509</v>
      </c>
      <c r="D27" s="559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559">
        <f>((F$2*$K$22/(F$2+$K$22))+$K$16)/((F$2*$K$22/(F$2+$K$22))+($B27*$K$24/($B27+$K$24))+$K$16+$K$17)</f>
        <v>0.4681861816387064</v>
      </c>
      <c r="G27" s="455"/>
      <c r="H27" s="456"/>
      <c r="J27" s="1207" t="s">
        <v>396</v>
      </c>
      <c r="R27" s="453"/>
      <c r="S27" s="454"/>
    </row>
    <row r="28" spans="2:40" x14ac:dyDescent="0.25">
      <c r="B28" s="438"/>
      <c r="C28" s="559"/>
      <c r="D28" s="559"/>
      <c r="E28" s="559"/>
      <c r="F28" s="559"/>
      <c r="G28" s="455"/>
      <c r="H28" s="456"/>
      <c r="J28" s="1207"/>
      <c r="R28" s="453"/>
      <c r="S28" s="454"/>
    </row>
    <row r="29" spans="2:40" x14ac:dyDescent="0.25">
      <c r="B29" s="438">
        <v>1681.7886024000004</v>
      </c>
      <c r="C29" s="559">
        <f t="shared" ref="C29:F31" si="3">((C$2*$K$22/(C$2+$K$22))+$K$16)/((C$2*$K$22/(C$2+$K$22))+($B29*$K$24/($B29+$K$24))+$K$16+$K$17)</f>
        <v>0.55069602792220984</v>
      </c>
      <c r="D29" s="559">
        <f t="shared" si="3"/>
        <v>0.51232755987518264</v>
      </c>
      <c r="E29" s="559">
        <f t="shared" si="3"/>
        <v>0.49616037949369102</v>
      </c>
      <c r="F29" s="559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559">
        <f t="shared" si="3"/>
        <v>0.55637096909121786</v>
      </c>
      <c r="D30" s="559">
        <f t="shared" si="3"/>
        <v>0.51806300912898651</v>
      </c>
      <c r="E30" s="559">
        <f t="shared" si="3"/>
        <v>0.50190110943027733</v>
      </c>
      <c r="F30" s="559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559">
        <f t="shared" si="3"/>
        <v>0.56582089196636642</v>
      </c>
      <c r="D31" s="559">
        <f t="shared" si="3"/>
        <v>0.52763614284573057</v>
      </c>
      <c r="E31" s="559">
        <f t="shared" si="3"/>
        <v>0.51149255840288199</v>
      </c>
      <c r="F31" s="559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559"/>
      <c r="D32" s="559"/>
      <c r="E32" s="559"/>
      <c r="F32" s="559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559">
        <f t="shared" ref="C33:F35" si="4">((C$2*$K$22/(C$2+$K$22))+$K$16)/((C$2*$K$22/(C$2+$K$22))+($B33*$K$24/($B33+$K$24))+$K$16+$K$17)</f>
        <v>0.5737833120921364</v>
      </c>
      <c r="D33" s="559">
        <f t="shared" si="4"/>
        <v>0.5357242371993598</v>
      </c>
      <c r="E33" s="559">
        <f t="shared" si="4"/>
        <v>0.51960540183717419</v>
      </c>
      <c r="F33" s="559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559">
        <f t="shared" si="4"/>
        <v>0.58180002762512295</v>
      </c>
      <c r="D34" s="559">
        <f t="shared" si="4"/>
        <v>0.54388775948976442</v>
      </c>
      <c r="E34" s="998">
        <f t="shared" si="4"/>
        <v>0.52780253274979638</v>
      </c>
      <c r="F34" s="559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559">
        <f t="shared" si="4"/>
        <v>0.58844727528709218</v>
      </c>
      <c r="D35" s="559">
        <f t="shared" si="4"/>
        <v>0.55067221810722211</v>
      </c>
      <c r="E35" s="559">
        <f t="shared" si="4"/>
        <v>0.53462152819222919</v>
      </c>
      <c r="F35" s="559">
        <f t="shared" si="4"/>
        <v>0.51745372671209122</v>
      </c>
      <c r="G35" s="455"/>
      <c r="H35" s="456"/>
      <c r="R35" s="453"/>
      <c r="S35" s="454"/>
      <c r="AC35" s="1190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559"/>
      <c r="D36" s="559"/>
      <c r="E36" s="559"/>
      <c r="F36" s="559"/>
      <c r="G36" s="455"/>
      <c r="H36" s="456"/>
      <c r="AC36" s="1190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559">
        <f t="shared" ref="C37:F40" si="5">((C$2*$K$22/(C$2+$K$22))+$K$16)/((C$2*$K$22/(C$2+$K$22))+($B37*$K$24/($B37+$K$24))+$K$16+$K$17)</f>
        <v>0.59870791375464172</v>
      </c>
      <c r="D37" s="559">
        <f t="shared" si="5"/>
        <v>0.56117231766049191</v>
      </c>
      <c r="E37" s="559">
        <f t="shared" si="5"/>
        <v>0.54518692038184025</v>
      </c>
      <c r="F37" s="559">
        <f t="shared" si="5"/>
        <v>0.52806481935833927</v>
      </c>
      <c r="G37" s="455"/>
      <c r="H37" s="456"/>
      <c r="AC37" s="1190"/>
    </row>
    <row r="38" spans="2:40" ht="15.75" thickBot="1" x14ac:dyDescent="0.3">
      <c r="B38" s="438">
        <v>760</v>
      </c>
      <c r="C38" s="559">
        <f t="shared" si="5"/>
        <v>0.60377182634625981</v>
      </c>
      <c r="D38" s="559">
        <f t="shared" si="5"/>
        <v>0.56636682765773416</v>
      </c>
      <c r="E38" s="1096">
        <f t="shared" si="5"/>
        <v>0.55041905814183001</v>
      </c>
      <c r="F38" s="559">
        <f t="shared" si="5"/>
        <v>0.53332532293149859</v>
      </c>
      <c r="G38" s="455"/>
      <c r="H38" s="456"/>
      <c r="I38" s="1098">
        <f>B38+$K$17</f>
        <v>3789.5884718129232</v>
      </c>
      <c r="AC38" s="1190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559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559">
        <f t="shared" si="5"/>
        <v>0.53912021294587875</v>
      </c>
      <c r="G39" s="455"/>
      <c r="H39" s="456"/>
      <c r="AC39" s="1190"/>
    </row>
    <row r="40" spans="2:40" ht="15.75" thickBot="1" x14ac:dyDescent="0.3">
      <c r="B40" s="449">
        <v>0</v>
      </c>
      <c r="C40" s="1097">
        <f t="shared" si="5"/>
        <v>0.65589113466375115</v>
      </c>
      <c r="D40" s="1097">
        <f t="shared" si="5"/>
        <v>0.62031222115244589</v>
      </c>
      <c r="E40" s="1097">
        <f t="shared" si="5"/>
        <v>0.60496461721951855</v>
      </c>
      <c r="F40" s="1097">
        <f t="shared" si="5"/>
        <v>0.58839391014880182</v>
      </c>
      <c r="G40" s="457"/>
      <c r="H40" s="458"/>
      <c r="AC40" s="1190"/>
      <c r="AD40" s="467" t="s">
        <v>423</v>
      </c>
      <c r="AE40" s="1193" t="s">
        <v>424</v>
      </c>
      <c r="AF40" s="1193"/>
      <c r="AG40" s="1095" t="s">
        <v>409</v>
      </c>
      <c r="AH40" s="1095" t="s">
        <v>410</v>
      </c>
      <c r="AI40" s="1095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0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0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0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0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0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0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0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0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0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0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0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0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0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0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0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0"/>
      <c r="AG56" s="453"/>
    </row>
    <row r="57" spans="29:40" x14ac:dyDescent="0.25">
      <c r="AC57" s="1190"/>
      <c r="AD57" s="425" t="s">
        <v>426</v>
      </c>
      <c r="AE57" s="492"/>
      <c r="AF57" s="492"/>
      <c r="AG57" s="493"/>
      <c r="AH57" s="494"/>
    </row>
    <row r="58" spans="29:40" x14ac:dyDescent="0.25">
      <c r="AC58" s="1190"/>
      <c r="AD58" s="495" t="s">
        <v>419</v>
      </c>
      <c r="AE58" s="1195" t="s">
        <v>427</v>
      </c>
      <c r="AF58" s="1195"/>
      <c r="AG58" s="1195"/>
      <c r="AH58" s="1197"/>
      <c r="AN58" s="515" t="s">
        <v>241</v>
      </c>
    </row>
    <row r="59" spans="29:40" x14ac:dyDescent="0.25">
      <c r="AC59" s="1190"/>
      <c r="AD59" s="495">
        <v>1</v>
      </c>
      <c r="AE59" s="1194">
        <v>47.4</v>
      </c>
      <c r="AF59" s="1195"/>
      <c r="AG59" s="1195"/>
      <c r="AH59" s="1197"/>
      <c r="AI59" s="380" t="s">
        <v>663</v>
      </c>
    </row>
    <row r="60" spans="29:40" x14ac:dyDescent="0.25">
      <c r="AC60" s="1190"/>
      <c r="AD60" s="513">
        <v>2</v>
      </c>
      <c r="AE60" s="1208">
        <v>42.7</v>
      </c>
      <c r="AF60" s="1209"/>
      <c r="AG60" s="1209"/>
      <c r="AH60" s="1210"/>
      <c r="AI60" s="380" t="s">
        <v>435</v>
      </c>
    </row>
    <row r="61" spans="29:40" x14ac:dyDescent="0.25">
      <c r="AC61" s="1190"/>
      <c r="AD61" s="496">
        <v>3</v>
      </c>
      <c r="AE61" s="1211">
        <v>38</v>
      </c>
      <c r="AF61" s="1202"/>
      <c r="AG61" s="1202"/>
      <c r="AH61" s="1203"/>
      <c r="AI61" s="380" t="s">
        <v>437</v>
      </c>
    </row>
    <row r="62" spans="29:40" x14ac:dyDescent="0.25">
      <c r="AC62" s="1190"/>
      <c r="AD62" s="496">
        <v>4</v>
      </c>
      <c r="AE62" s="1198">
        <v>22.8</v>
      </c>
      <c r="AF62" s="1199"/>
      <c r="AG62" s="1199"/>
      <c r="AH62" s="1201"/>
      <c r="AI62" s="380" t="s">
        <v>436</v>
      </c>
    </row>
    <row r="63" spans="29:40" ht="15.75" thickBot="1" x14ac:dyDescent="0.3">
      <c r="AC63" s="1190"/>
      <c r="AD63" s="514">
        <v>5</v>
      </c>
      <c r="AE63" s="1212">
        <v>20.6</v>
      </c>
      <c r="AF63" s="1213"/>
      <c r="AG63" s="1213"/>
      <c r="AH63" s="1214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AB2C-C78F-4847-B303-B3560E801E01}">
  <sheetPr codeName="Sheet10"/>
  <dimension ref="A1:AN65"/>
  <sheetViews>
    <sheetView showGridLines="0" topLeftCell="M22" zoomScale="85" zoomScaleNormal="85" workbookViewId="0">
      <selection activeCell="E31" sqref="E31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19.140625" style="168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1093"/>
      <c r="L2" s="1094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0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0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0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0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0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91" t="s">
        <v>384</v>
      </c>
      <c r="D8" s="1191"/>
      <c r="E8" s="1191"/>
      <c r="F8" s="1191"/>
      <c r="G8" s="1191"/>
      <c r="H8" s="1192"/>
      <c r="J8" s="262" t="s">
        <v>385</v>
      </c>
      <c r="K8" s="252">
        <v>0.45</v>
      </c>
      <c r="L8" s="87" t="s">
        <v>184</v>
      </c>
      <c r="M8" s="381"/>
      <c r="AC8" s="1190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0"/>
      <c r="AD9" s="467" t="s">
        <v>407</v>
      </c>
      <c r="AE9" s="1193" t="s">
        <v>408</v>
      </c>
      <c r="AF9" s="1193"/>
      <c r="AG9" s="1095" t="s">
        <v>409</v>
      </c>
      <c r="AH9" s="1095" t="s">
        <v>410</v>
      </c>
      <c r="AI9" s="1095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1190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0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145">
        <f t="shared" si="0"/>
        <v>0.30403662694094868</v>
      </c>
      <c r="E12" s="1001">
        <f t="shared" si="0"/>
        <v>0.3143657022253547</v>
      </c>
      <c r="F12" s="145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0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1190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145">
        <f t="shared" si="0"/>
        <v>0.3133457458048528</v>
      </c>
      <c r="E14" s="145">
        <f t="shared" si="0"/>
        <v>0.32432844848396125</v>
      </c>
      <c r="F14" s="145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90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190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90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0.29574853148044267</v>
      </c>
      <c r="D17" s="145">
        <f t="shared" si="1"/>
        <v>0.32324293146912941</v>
      </c>
      <c r="E17" s="145">
        <f t="shared" si="1"/>
        <v>0.33494333265672649</v>
      </c>
      <c r="F17" s="145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190"/>
      <c r="AD17" s="495" t="s">
        <v>419</v>
      </c>
      <c r="AE17" s="1194" t="s">
        <v>420</v>
      </c>
      <c r="AF17" s="1195"/>
      <c r="AG17" s="1195"/>
      <c r="AH17" s="1196"/>
      <c r="AI17" s="1195" t="s">
        <v>421</v>
      </c>
      <c r="AJ17" s="1195"/>
      <c r="AK17" s="1195"/>
      <c r="AL17" s="1197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1190"/>
      <c r="AD18" s="496">
        <v>1</v>
      </c>
      <c r="AE18" s="1198">
        <v>40.9</v>
      </c>
      <c r="AF18" s="1199"/>
      <c r="AG18" s="1199"/>
      <c r="AH18" s="1200"/>
      <c r="AI18" s="1199">
        <v>30.6</v>
      </c>
      <c r="AJ18" s="1199"/>
      <c r="AK18" s="1199"/>
      <c r="AL18" s="1201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0"/>
      <c r="AD19" s="496">
        <v>2</v>
      </c>
      <c r="AE19" s="1198">
        <v>30.6</v>
      </c>
      <c r="AF19" s="1199"/>
      <c r="AG19" s="1199"/>
      <c r="AH19" s="1200"/>
      <c r="AI19" s="1202">
        <v>23</v>
      </c>
      <c r="AJ19" s="1202"/>
      <c r="AK19" s="1202"/>
      <c r="AL19" s="1203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1190"/>
      <c r="AD20" s="513">
        <v>3</v>
      </c>
      <c r="AE20" s="1204">
        <v>23</v>
      </c>
      <c r="AF20" s="1205"/>
      <c r="AG20" s="1205"/>
      <c r="AH20" s="1206"/>
      <c r="AI20" s="1205">
        <v>17.2</v>
      </c>
      <c r="AJ20" s="1205"/>
      <c r="AK20" s="1205"/>
      <c r="AL20" s="1215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0"/>
      <c r="AD21" s="497">
        <v>4</v>
      </c>
      <c r="AE21" s="1216">
        <v>17.2</v>
      </c>
      <c r="AF21" s="1217"/>
      <c r="AG21" s="1217"/>
      <c r="AH21" s="1218"/>
      <c r="AI21" s="1217">
        <v>12.9</v>
      </c>
      <c r="AJ21" s="1217"/>
      <c r="AK21" s="1217"/>
      <c r="AL21" s="1219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91" t="s">
        <v>395</v>
      </c>
      <c r="D25" s="1191"/>
      <c r="E25" s="1191"/>
      <c r="F25" s="1191"/>
      <c r="G25" s="1191"/>
      <c r="H25" s="1192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1207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07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1000">
        <f t="shared" si="3"/>
        <v>0.52460452956366033</v>
      </c>
      <c r="E29" s="1000">
        <f t="shared" si="3"/>
        <v>0.50845385833234091</v>
      </c>
      <c r="F29" s="455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559">
        <f t="shared" si="3"/>
        <v>0.54066708745803904</v>
      </c>
      <c r="E31" s="1096">
        <f t="shared" si="3"/>
        <v>0.52456756519958458</v>
      </c>
      <c r="F31" s="455">
        <f t="shared" si="3"/>
        <v>0.50737063191081067</v>
      </c>
      <c r="G31" s="455"/>
      <c r="H31" s="456"/>
      <c r="I31" s="1098">
        <f>B31+$K$17</f>
        <v>4204.9903099215808</v>
      </c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0.59536172014527056</v>
      </c>
      <c r="D34" s="455">
        <f t="shared" si="4"/>
        <v>0.55774433397814493</v>
      </c>
      <c r="E34" s="998">
        <f t="shared" si="4"/>
        <v>0.54173603738082909</v>
      </c>
      <c r="F34" s="455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1190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90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1190"/>
    </row>
    <row r="38" spans="2:40" ht="15.75" thickBot="1" x14ac:dyDescent="0.3">
      <c r="B38" s="438">
        <v>760</v>
      </c>
      <c r="C38" s="455">
        <f t="shared" si="5"/>
        <v>0.6183900494231489</v>
      </c>
      <c r="D38" s="689">
        <f t="shared" si="5"/>
        <v>0.5814083040982102</v>
      </c>
      <c r="E38" s="689">
        <f t="shared" si="5"/>
        <v>0.56558941889668513</v>
      </c>
      <c r="F38" s="455">
        <f t="shared" si="5"/>
        <v>0.5485994479706704</v>
      </c>
      <c r="G38" s="455"/>
      <c r="H38" s="456"/>
      <c r="AC38" s="1190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1190"/>
    </row>
    <row r="40" spans="2:40" ht="15.75" thickBot="1" x14ac:dyDescent="0.3">
      <c r="B40" s="449">
        <v>0</v>
      </c>
      <c r="C40" s="457">
        <f t="shared" si="5"/>
        <v>0.67317819098806753</v>
      </c>
      <c r="D40" s="457">
        <f t="shared" si="5"/>
        <v>0.63840126044614187</v>
      </c>
      <c r="E40" s="457">
        <f t="shared" si="5"/>
        <v>0.62334086087969454</v>
      </c>
      <c r="F40" s="457">
        <f t="shared" si="5"/>
        <v>0.6070402868556668</v>
      </c>
      <c r="G40" s="457"/>
      <c r="H40" s="458"/>
      <c r="AC40" s="1190"/>
      <c r="AD40" s="467" t="s">
        <v>423</v>
      </c>
      <c r="AE40" s="1193" t="s">
        <v>424</v>
      </c>
      <c r="AF40" s="1193"/>
      <c r="AG40" s="1095" t="s">
        <v>409</v>
      </c>
      <c r="AH40" s="1095" t="s">
        <v>410</v>
      </c>
      <c r="AI40" s="1095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0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0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0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0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0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0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0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0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0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0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0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0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0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0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0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0"/>
      <c r="AG56" s="453"/>
    </row>
    <row r="57" spans="29:40" x14ac:dyDescent="0.25">
      <c r="AC57" s="1190"/>
      <c r="AD57" s="425" t="s">
        <v>426</v>
      </c>
      <c r="AE57" s="492"/>
      <c r="AF57" s="492"/>
      <c r="AG57" s="493"/>
      <c r="AH57" s="494"/>
    </row>
    <row r="58" spans="29:40" x14ac:dyDescent="0.25">
      <c r="AC58" s="1190"/>
      <c r="AD58" s="495" t="s">
        <v>419</v>
      </c>
      <c r="AE58" s="1195" t="s">
        <v>427</v>
      </c>
      <c r="AF58" s="1195"/>
      <c r="AG58" s="1195"/>
      <c r="AH58" s="1197"/>
      <c r="AN58" s="515" t="s">
        <v>241</v>
      </c>
    </row>
    <row r="59" spans="29:40" x14ac:dyDescent="0.25">
      <c r="AC59" s="1190"/>
      <c r="AD59" s="495">
        <v>1</v>
      </c>
      <c r="AE59" s="1194">
        <v>47.4</v>
      </c>
      <c r="AF59" s="1195"/>
      <c r="AG59" s="1195"/>
      <c r="AH59" s="1197"/>
      <c r="AI59" s="380" t="s">
        <v>663</v>
      </c>
    </row>
    <row r="60" spans="29:40" x14ac:dyDescent="0.25">
      <c r="AC60" s="1190"/>
      <c r="AD60" s="513">
        <v>2</v>
      </c>
      <c r="AE60" s="1208">
        <v>42.7</v>
      </c>
      <c r="AF60" s="1209"/>
      <c r="AG60" s="1209"/>
      <c r="AH60" s="1210"/>
      <c r="AI60" s="380" t="s">
        <v>435</v>
      </c>
    </row>
    <row r="61" spans="29:40" x14ac:dyDescent="0.25">
      <c r="AC61" s="1190"/>
      <c r="AD61" s="496">
        <v>3</v>
      </c>
      <c r="AE61" s="1211">
        <v>38</v>
      </c>
      <c r="AF61" s="1202"/>
      <c r="AG61" s="1202"/>
      <c r="AH61" s="1203"/>
      <c r="AI61" s="380" t="s">
        <v>437</v>
      </c>
    </row>
    <row r="62" spans="29:40" x14ac:dyDescent="0.25">
      <c r="AC62" s="1190"/>
      <c r="AD62" s="496">
        <v>4</v>
      </c>
      <c r="AE62" s="1198">
        <v>22.8</v>
      </c>
      <c r="AF62" s="1199"/>
      <c r="AG62" s="1199"/>
      <c r="AH62" s="1201"/>
      <c r="AI62" s="380" t="s">
        <v>436</v>
      </c>
    </row>
    <row r="63" spans="29:40" ht="15.75" thickBot="1" x14ac:dyDescent="0.3">
      <c r="AC63" s="1190"/>
      <c r="AD63" s="514">
        <v>5</v>
      </c>
      <c r="AE63" s="1212">
        <v>20.6</v>
      </c>
      <c r="AF63" s="1213"/>
      <c r="AG63" s="1213"/>
      <c r="AH63" s="1214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DEE8-DA04-4EAA-AE0B-668663B6BAA8}">
  <sheetPr codeName="Sheet11"/>
  <dimension ref="A1:AN65"/>
  <sheetViews>
    <sheetView showGridLines="0" topLeftCell="A7" zoomScale="85" zoomScaleNormal="85" workbookViewId="0">
      <selection activeCell="AL49" sqref="AL49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1044"/>
      <c r="L2" s="1045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0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0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0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0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0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91" t="s">
        <v>384</v>
      </c>
      <c r="D8" s="1191"/>
      <c r="E8" s="1191"/>
      <c r="F8" s="1191"/>
      <c r="G8" s="1191"/>
      <c r="H8" s="1192"/>
      <c r="J8" s="262" t="s">
        <v>385</v>
      </c>
      <c r="K8" s="252">
        <v>0.45</v>
      </c>
      <c r="L8" s="87" t="s">
        <v>184</v>
      </c>
      <c r="M8" s="381"/>
      <c r="AC8" s="1190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0"/>
      <c r="AD9" s="467" t="s">
        <v>407</v>
      </c>
      <c r="AE9" s="1193" t="s">
        <v>408</v>
      </c>
      <c r="AF9" s="1193"/>
      <c r="AG9" s="1046" t="s">
        <v>409</v>
      </c>
      <c r="AH9" s="1046" t="s">
        <v>410</v>
      </c>
      <c r="AI9" s="1046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1190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0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999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0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1190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90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1190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90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1190"/>
      <c r="AD17" s="495" t="s">
        <v>419</v>
      </c>
      <c r="AE17" s="1194" t="s">
        <v>420</v>
      </c>
      <c r="AF17" s="1195"/>
      <c r="AG17" s="1195"/>
      <c r="AH17" s="1196"/>
      <c r="AI17" s="1195" t="s">
        <v>421</v>
      </c>
      <c r="AJ17" s="1195"/>
      <c r="AK17" s="1195"/>
      <c r="AL17" s="1197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1190"/>
      <c r="AD18" s="496">
        <v>1</v>
      </c>
      <c r="AE18" s="1198">
        <v>40.9</v>
      </c>
      <c r="AF18" s="1199"/>
      <c r="AG18" s="1199"/>
      <c r="AH18" s="1200"/>
      <c r="AI18" s="1199">
        <v>30.6</v>
      </c>
      <c r="AJ18" s="1199"/>
      <c r="AK18" s="1199"/>
      <c r="AL18" s="1201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0"/>
      <c r="AD19" s="496">
        <v>2</v>
      </c>
      <c r="AE19" s="1198">
        <v>30.6</v>
      </c>
      <c r="AF19" s="1199"/>
      <c r="AG19" s="1199"/>
      <c r="AH19" s="1200"/>
      <c r="AI19" s="1202">
        <v>23</v>
      </c>
      <c r="AJ19" s="1202"/>
      <c r="AK19" s="1202"/>
      <c r="AL19" s="1203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1190"/>
      <c r="AD20" s="513">
        <v>3</v>
      </c>
      <c r="AE20" s="1204">
        <v>23</v>
      </c>
      <c r="AF20" s="1205"/>
      <c r="AG20" s="1205"/>
      <c r="AH20" s="1206"/>
      <c r="AI20" s="1205">
        <v>17.2</v>
      </c>
      <c r="AJ20" s="1205"/>
      <c r="AK20" s="1205"/>
      <c r="AL20" s="1215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0"/>
      <c r="AD21" s="497">
        <v>4</v>
      </c>
      <c r="AE21" s="1216">
        <v>17.2</v>
      </c>
      <c r="AF21" s="1217"/>
      <c r="AG21" s="1217"/>
      <c r="AH21" s="1218"/>
      <c r="AI21" s="1217">
        <v>12.9</v>
      </c>
      <c r="AJ21" s="1217"/>
      <c r="AK21" s="1217"/>
      <c r="AL21" s="1219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91" t="s">
        <v>395</v>
      </c>
      <c r="D25" s="1191"/>
      <c r="E25" s="1191"/>
      <c r="F25" s="1191"/>
      <c r="G25" s="1191"/>
      <c r="H25" s="1192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0.53998430960862509</v>
      </c>
      <c r="D27" s="455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455">
        <f>((F$2*$K$22/(F$2+$K$22))+$K$16)/((F$2*$K$22/(F$2+$K$22))+($B27*$K$24/($B27+$K$24))+$K$16+$K$17)</f>
        <v>0.4681861816387064</v>
      </c>
      <c r="G27" s="455"/>
      <c r="H27" s="456"/>
      <c r="J27" s="1207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07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0.55069602792220984</v>
      </c>
      <c r="D29" s="1000">
        <f t="shared" si="3"/>
        <v>0.51232755987518264</v>
      </c>
      <c r="E29" s="1000">
        <f t="shared" si="3"/>
        <v>0.49616037949369102</v>
      </c>
      <c r="F29" s="455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0.55637096909121786</v>
      </c>
      <c r="D30" s="455">
        <f t="shared" si="3"/>
        <v>0.51806300912898651</v>
      </c>
      <c r="E30" s="559">
        <f t="shared" si="3"/>
        <v>0.50190110943027733</v>
      </c>
      <c r="F30" s="455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0.56582089196636642</v>
      </c>
      <c r="D31" s="1002">
        <f t="shared" si="3"/>
        <v>0.52763614284573057</v>
      </c>
      <c r="E31" s="559">
        <f t="shared" si="3"/>
        <v>0.51149255840288199</v>
      </c>
      <c r="F31" s="455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0.5737833120921364</v>
      </c>
      <c r="D33" s="455">
        <f t="shared" si="4"/>
        <v>0.5357242371993598</v>
      </c>
      <c r="E33" s="559">
        <f t="shared" si="4"/>
        <v>0.51960540183717419</v>
      </c>
      <c r="F33" s="455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0.58180002762512295</v>
      </c>
      <c r="D34" s="455">
        <f t="shared" si="4"/>
        <v>0.54388775948976442</v>
      </c>
      <c r="E34" s="998">
        <f t="shared" si="4"/>
        <v>0.52780253274979638</v>
      </c>
      <c r="F34" s="455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0.58844727528709218</v>
      </c>
      <c r="D35" s="455">
        <f t="shared" si="4"/>
        <v>0.55067221810722211</v>
      </c>
      <c r="E35" s="455">
        <f t="shared" si="4"/>
        <v>0.53462152819222919</v>
      </c>
      <c r="F35" s="455">
        <f t="shared" si="4"/>
        <v>0.51745372671209122</v>
      </c>
      <c r="G35" s="455"/>
      <c r="H35" s="456"/>
      <c r="R35" s="453"/>
      <c r="S35" s="454"/>
      <c r="AC35" s="1190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90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0.59870791375464172</v>
      </c>
      <c r="D37" s="455">
        <f t="shared" si="5"/>
        <v>0.56117231766049191</v>
      </c>
      <c r="E37" s="455">
        <f t="shared" si="5"/>
        <v>0.54518692038184025</v>
      </c>
      <c r="F37" s="455">
        <f t="shared" si="5"/>
        <v>0.52806481935833927</v>
      </c>
      <c r="G37" s="455"/>
      <c r="H37" s="456"/>
      <c r="AC37" s="1190"/>
    </row>
    <row r="38" spans="2:40" ht="15.75" thickBot="1" x14ac:dyDescent="0.3">
      <c r="B38" s="438">
        <v>760</v>
      </c>
      <c r="C38" s="455">
        <f t="shared" si="5"/>
        <v>0.60377182634625981</v>
      </c>
      <c r="D38" s="689">
        <f t="shared" si="5"/>
        <v>0.56636682765773416</v>
      </c>
      <c r="E38" s="689">
        <f t="shared" si="5"/>
        <v>0.55041905814183001</v>
      </c>
      <c r="F38" s="455">
        <f t="shared" si="5"/>
        <v>0.53332532293149859</v>
      </c>
      <c r="G38" s="455"/>
      <c r="H38" s="456"/>
      <c r="AC38" s="1190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455">
        <f t="shared" si="5"/>
        <v>0.53912021294587875</v>
      </c>
      <c r="G39" s="455"/>
      <c r="H39" s="456"/>
      <c r="AC39" s="1190"/>
    </row>
    <row r="40" spans="2:40" ht="15.75" thickBot="1" x14ac:dyDescent="0.3">
      <c r="B40" s="449">
        <v>0</v>
      </c>
      <c r="C40" s="457">
        <f t="shared" si="5"/>
        <v>0.65589113466375115</v>
      </c>
      <c r="D40" s="457">
        <f t="shared" si="5"/>
        <v>0.62031222115244589</v>
      </c>
      <c r="E40" s="457">
        <f t="shared" si="5"/>
        <v>0.60496461721951855</v>
      </c>
      <c r="F40" s="457">
        <f t="shared" si="5"/>
        <v>0.58839391014880182</v>
      </c>
      <c r="G40" s="457"/>
      <c r="H40" s="458"/>
      <c r="AC40" s="1190"/>
      <c r="AD40" s="467" t="s">
        <v>423</v>
      </c>
      <c r="AE40" s="1193" t="s">
        <v>424</v>
      </c>
      <c r="AF40" s="1193"/>
      <c r="AG40" s="1046" t="s">
        <v>409</v>
      </c>
      <c r="AH40" s="1046" t="s">
        <v>410</v>
      </c>
      <c r="AI40" s="1046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0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0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0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0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0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0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0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0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0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0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0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0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0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0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0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0"/>
      <c r="AG56" s="453"/>
    </row>
    <row r="57" spans="29:40" x14ac:dyDescent="0.25">
      <c r="AC57" s="1190"/>
      <c r="AD57" s="425" t="s">
        <v>426</v>
      </c>
      <c r="AE57" s="492"/>
      <c r="AF57" s="492"/>
      <c r="AG57" s="493"/>
      <c r="AH57" s="494"/>
    </row>
    <row r="58" spans="29:40" x14ac:dyDescent="0.25">
      <c r="AC58" s="1190"/>
      <c r="AD58" s="495" t="s">
        <v>419</v>
      </c>
      <c r="AE58" s="1195" t="s">
        <v>427</v>
      </c>
      <c r="AF58" s="1195"/>
      <c r="AG58" s="1195"/>
      <c r="AH58" s="1197"/>
      <c r="AN58" s="515" t="s">
        <v>241</v>
      </c>
    </row>
    <row r="59" spans="29:40" x14ac:dyDescent="0.25">
      <c r="AC59" s="1190"/>
      <c r="AD59" s="495">
        <v>1</v>
      </c>
      <c r="AE59" s="1194">
        <v>47.4</v>
      </c>
      <c r="AF59" s="1195"/>
      <c r="AG59" s="1195"/>
      <c r="AH59" s="1197"/>
      <c r="AI59" s="380" t="s">
        <v>663</v>
      </c>
    </row>
    <row r="60" spans="29:40" x14ac:dyDescent="0.25">
      <c r="AC60" s="1190"/>
      <c r="AD60" s="513">
        <v>2</v>
      </c>
      <c r="AE60" s="1208">
        <v>42.7</v>
      </c>
      <c r="AF60" s="1209"/>
      <c r="AG60" s="1209"/>
      <c r="AH60" s="1210"/>
      <c r="AI60" s="380" t="s">
        <v>435</v>
      </c>
    </row>
    <row r="61" spans="29:40" x14ac:dyDescent="0.25">
      <c r="AC61" s="1190"/>
      <c r="AD61" s="496">
        <v>3</v>
      </c>
      <c r="AE61" s="1211">
        <v>38</v>
      </c>
      <c r="AF61" s="1202"/>
      <c r="AG61" s="1202"/>
      <c r="AH61" s="1203"/>
      <c r="AI61" s="380" t="s">
        <v>437</v>
      </c>
    </row>
    <row r="62" spans="29:40" x14ac:dyDescent="0.25">
      <c r="AC62" s="1190"/>
      <c r="AD62" s="496">
        <v>4</v>
      </c>
      <c r="AE62" s="1198">
        <v>22.8</v>
      </c>
      <c r="AF62" s="1199"/>
      <c r="AG62" s="1199"/>
      <c r="AH62" s="1201"/>
      <c r="AI62" s="380" t="s">
        <v>436</v>
      </c>
    </row>
    <row r="63" spans="29:40" ht="15.75" thickBot="1" x14ac:dyDescent="0.3">
      <c r="AC63" s="1190"/>
      <c r="AD63" s="514">
        <v>5</v>
      </c>
      <c r="AE63" s="1212">
        <v>20.6</v>
      </c>
      <c r="AF63" s="1213"/>
      <c r="AG63" s="1213"/>
      <c r="AH63" s="1214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BB28-B81C-4C2F-BFEB-4777DB134964}">
  <sheetPr codeName="Sheet12"/>
  <dimension ref="A1:AN65"/>
  <sheetViews>
    <sheetView showGridLines="0" topLeftCell="A4" zoomScaleNormal="100" workbookViewId="0">
      <selection activeCell="F29" sqref="F29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3"/>
      <c r="L2" s="994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0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0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0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0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0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91" t="s">
        <v>384</v>
      </c>
      <c r="D8" s="1191"/>
      <c r="E8" s="1191"/>
      <c r="F8" s="1191"/>
      <c r="G8" s="1191"/>
      <c r="H8" s="1192"/>
      <c r="J8" s="262" t="s">
        <v>385</v>
      </c>
      <c r="K8" s="252">
        <v>0.45</v>
      </c>
      <c r="L8" s="87" t="s">
        <v>184</v>
      </c>
      <c r="M8" s="381"/>
      <c r="AC8" s="1190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0"/>
      <c r="AD9" s="467" t="s">
        <v>407</v>
      </c>
      <c r="AE9" s="1193" t="s">
        <v>408</v>
      </c>
      <c r="AF9" s="1193"/>
      <c r="AG9" s="995" t="s">
        <v>409</v>
      </c>
      <c r="AH9" s="995" t="s">
        <v>410</v>
      </c>
      <c r="AI9" s="995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0.2891431268307923</v>
      </c>
      <c r="D10" s="145">
        <f>$K$3*$K$9*9.81/($K$16+$K$17+($B10*$K$24/($B10+$K$24))+(D$2*$K$22/(D$2+$K$22)))</f>
        <v>0.31536863976280438</v>
      </c>
      <c r="E10" s="145">
        <f>$K$3*$K$9*9.81/($K$16+$K$17+($B10*$K$24/($B10+$K$24))+(E$2*$K$22/(E$2+$K$22)))</f>
        <v>0.32649612204873801</v>
      </c>
      <c r="F10" s="145">
        <f>$K$3*$K$9*9.81/($K$16+$K$17+($B10*$K$24/($B10+$K$24))+(F$2*$K$22/(F$2+$K$22)))</f>
        <v>0.33838766515329843</v>
      </c>
      <c r="G10" s="145"/>
      <c r="H10" s="146"/>
      <c r="J10" s="99"/>
      <c r="L10" s="87"/>
      <c r="M10" s="381"/>
      <c r="AC10" s="1190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0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0.29533543847899169</v>
      </c>
      <c r="D12" s="145">
        <f t="shared" si="0"/>
        <v>0.32274952558214742</v>
      </c>
      <c r="E12" s="999">
        <f t="shared" si="0"/>
        <v>0.33441359001498699</v>
      </c>
      <c r="F12" s="145">
        <f t="shared" si="0"/>
        <v>0.34689988936940302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0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0.29862382826764833</v>
      </c>
      <c r="D13" s="145">
        <f t="shared" si="0"/>
        <v>0.32668079204848488</v>
      </c>
      <c r="E13" s="558">
        <f t="shared" si="0"/>
        <v>0.33863599914588083</v>
      </c>
      <c r="F13" s="145">
        <f t="shared" si="0"/>
        <v>0.35144563981959209</v>
      </c>
      <c r="G13" s="145"/>
      <c r="H13" s="146"/>
      <c r="J13" s="99"/>
      <c r="L13" s="87"/>
      <c r="M13" s="381"/>
      <c r="AC13" s="1190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0.30411165844000854</v>
      </c>
      <c r="D14" s="145">
        <f t="shared" si="0"/>
        <v>0.33325963391666608</v>
      </c>
      <c r="E14" s="145">
        <f t="shared" si="0"/>
        <v>0.34571038402700749</v>
      </c>
      <c r="F14" s="145">
        <f t="shared" si="0"/>
        <v>0.35907138145536149</v>
      </c>
      <c r="G14" s="145"/>
      <c r="H14" s="146"/>
      <c r="J14" s="262" t="s">
        <v>389</v>
      </c>
      <c r="K14" s="443">
        <v>100</v>
      </c>
      <c r="L14" s="87" t="s">
        <v>69</v>
      </c>
      <c r="M14" s="381">
        <v>1100</v>
      </c>
      <c r="AC14" s="1190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106</v>
      </c>
      <c r="L15" s="87" t="s">
        <v>69</v>
      </c>
      <c r="M15" s="381">
        <v>950</v>
      </c>
      <c r="AC15" s="1190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0.30874733139934418</v>
      </c>
      <c r="D16" s="145">
        <f t="shared" si="1"/>
        <v>0.3388346618965396</v>
      </c>
      <c r="E16" s="145">
        <f t="shared" si="1"/>
        <v>0.35171351739240725</v>
      </c>
      <c r="F16" s="145">
        <f t="shared" si="1"/>
        <v>0.36555184816310465</v>
      </c>
      <c r="G16" s="145"/>
      <c r="H16" s="146"/>
      <c r="J16" s="262" t="s">
        <v>391</v>
      </c>
      <c r="K16" s="278">
        <f>(K21*K14/(K14+K21)*1000)*((2*$K$11)^2/2)*(6.28/360)</f>
        <v>2334.4990554389838</v>
      </c>
      <c r="L16" s="87" t="s">
        <v>392</v>
      </c>
      <c r="M16" s="381"/>
      <c r="AC16" s="1190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0.31342544317597659</v>
      </c>
      <c r="D17" s="145">
        <f t="shared" si="1"/>
        <v>0.34447729175318453</v>
      </c>
      <c r="E17" s="145">
        <f t="shared" si="1"/>
        <v>0.35779709429618134</v>
      </c>
      <c r="F17" s="145">
        <f t="shared" si="1"/>
        <v>0.37212804060186472</v>
      </c>
      <c r="G17" s="145"/>
      <c r="H17" s="146"/>
      <c r="J17" s="262" t="s">
        <v>393</v>
      </c>
      <c r="K17" s="278">
        <f>(K15*K23/(K15+K23)*1000)*((2*$K$12)^2/2)*(6.28/360)</f>
        <v>2396.5402015222944</v>
      </c>
      <c r="L17" s="87" t="s">
        <v>392</v>
      </c>
      <c r="M17" s="381"/>
      <c r="AC17" s="1190"/>
      <c r="AD17" s="495" t="s">
        <v>419</v>
      </c>
      <c r="AE17" s="1194" t="s">
        <v>420</v>
      </c>
      <c r="AF17" s="1195"/>
      <c r="AG17" s="1195"/>
      <c r="AH17" s="1196"/>
      <c r="AI17" s="1195" t="s">
        <v>421</v>
      </c>
      <c r="AJ17" s="1195"/>
      <c r="AK17" s="1195"/>
      <c r="AL17" s="1197"/>
    </row>
    <row r="18" spans="2:40" ht="15.75" thickBot="1" x14ac:dyDescent="0.3">
      <c r="B18" s="444">
        <v>1009.0731614400001</v>
      </c>
      <c r="C18" s="145">
        <f t="shared" si="1"/>
        <v>0.31731267594329082</v>
      </c>
      <c r="D18" s="145">
        <f t="shared" si="1"/>
        <v>0.34917869181235822</v>
      </c>
      <c r="E18" s="145">
        <f t="shared" si="1"/>
        <v>0.36287177681659472</v>
      </c>
      <c r="F18" s="145">
        <f t="shared" si="1"/>
        <v>0.37762049975313666</v>
      </c>
      <c r="G18" s="145"/>
      <c r="H18" s="146"/>
      <c r="J18" s="100"/>
      <c r="K18" s="88"/>
      <c r="L18" s="142"/>
      <c r="M18" s="381"/>
      <c r="AC18" s="1190"/>
      <c r="AD18" s="496">
        <v>1</v>
      </c>
      <c r="AE18" s="1198">
        <v>40.9</v>
      </c>
      <c r="AF18" s="1199"/>
      <c r="AG18" s="1199"/>
      <c r="AH18" s="1200"/>
      <c r="AI18" s="1199">
        <v>30.6</v>
      </c>
      <c r="AJ18" s="1199"/>
      <c r="AK18" s="1199"/>
      <c r="AL18" s="1201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0"/>
      <c r="AD19" s="496">
        <v>2</v>
      </c>
      <c r="AE19" s="1198">
        <v>30.6</v>
      </c>
      <c r="AF19" s="1199"/>
      <c r="AG19" s="1199"/>
      <c r="AH19" s="1200"/>
      <c r="AI19" s="1202">
        <v>23</v>
      </c>
      <c r="AJ19" s="1202"/>
      <c r="AK19" s="1202"/>
      <c r="AL19" s="1203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0.32332774384900009</v>
      </c>
      <c r="D20" s="145">
        <f t="shared" si="2"/>
        <v>0.35647643713642069</v>
      </c>
      <c r="E20" s="145">
        <f t="shared" si="2"/>
        <v>0.37075957347613331</v>
      </c>
      <c r="F20" s="145">
        <f t="shared" si="2"/>
        <v>0.38617007059872238</v>
      </c>
      <c r="G20" s="145"/>
      <c r="H20" s="146"/>
      <c r="J20" s="86" t="s">
        <v>394</v>
      </c>
      <c r="K20" s="69"/>
      <c r="L20" s="70"/>
      <c r="M20" s="381"/>
      <c r="AC20" s="1190"/>
      <c r="AD20" s="513">
        <v>3</v>
      </c>
      <c r="AE20" s="1204">
        <v>23</v>
      </c>
      <c r="AF20" s="1205"/>
      <c r="AG20" s="1205"/>
      <c r="AH20" s="1206"/>
      <c r="AI20" s="1205">
        <v>17.2</v>
      </c>
      <c r="AJ20" s="1205"/>
      <c r="AK20" s="1205"/>
      <c r="AL20" s="1215"/>
    </row>
    <row r="21" spans="2:40" ht="15.75" thickBot="1" x14ac:dyDescent="0.3">
      <c r="B21" s="438">
        <v>760</v>
      </c>
      <c r="C21" s="145">
        <f t="shared" si="2"/>
        <v>0.32630297473406406</v>
      </c>
      <c r="D21" s="558">
        <f t="shared" si="2"/>
        <v>0.36009641820187616</v>
      </c>
      <c r="E21" s="558">
        <f t="shared" si="2"/>
        <v>0.37467704755977538</v>
      </c>
      <c r="F21" s="145">
        <f t="shared" si="2"/>
        <v>0.39042183685388071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0"/>
      <c r="AD21" s="497">
        <v>4</v>
      </c>
      <c r="AE21" s="1216">
        <v>17.2</v>
      </c>
      <c r="AF21" s="1217"/>
      <c r="AG21" s="1217"/>
      <c r="AH21" s="1218"/>
      <c r="AI21" s="1217">
        <v>12.9</v>
      </c>
      <c r="AJ21" s="1217"/>
      <c r="AK21" s="1217"/>
      <c r="AL21" s="1219"/>
    </row>
    <row r="22" spans="2:40" x14ac:dyDescent="0.25">
      <c r="B22" s="438">
        <v>672.71544096000025</v>
      </c>
      <c r="C22" s="145">
        <f t="shared" si="2"/>
        <v>0.32957526491671618</v>
      </c>
      <c r="D22" s="558">
        <f t="shared" si="2"/>
        <v>0.36408573598299665</v>
      </c>
      <c r="E22" s="558">
        <f t="shared" si="2"/>
        <v>0.37899790628297719</v>
      </c>
      <c r="F22" s="145">
        <f t="shared" si="2"/>
        <v>0.39511574517964287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0.35718195053425933</v>
      </c>
      <c r="D23" s="450">
        <f t="shared" si="2"/>
        <v>0.39807474011218691</v>
      </c>
      <c r="E23" s="450">
        <f t="shared" si="2"/>
        <v>0.41596952636587498</v>
      </c>
      <c r="F23" s="450">
        <f t="shared" si="2"/>
        <v>0.43546625210701834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91" t="s">
        <v>395</v>
      </c>
      <c r="D25" s="1191"/>
      <c r="E25" s="1191"/>
      <c r="F25" s="1191"/>
      <c r="G25" s="1191"/>
      <c r="H25" s="1192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0.56794583566856582</v>
      </c>
      <c r="D27" s="455">
        <f>((D$2*$K$22/(D$2+$K$22))+$K$16)/((D$2*$K$22/(D$2+$K$22))+($B27*$K$24/($B27+$K$24))+$K$16+$K$17)</f>
        <v>0.52875817729951669</v>
      </c>
      <c r="E27" s="559">
        <f>((E$2*$K$22/(E$2+$K$22))+$K$16)/((E$2*$K$22/(E$2+$K$22))+($B27*$K$24/($B27+$K$24))+$K$16+$K$17)</f>
        <v>0.51213085811383408</v>
      </c>
      <c r="F27" s="455">
        <f>((F$2*$K$22/(F$2+$K$22))+$K$16)/((F$2*$K$22/(F$2+$K$22))+($B27*$K$24/($B27+$K$24))+$K$16+$K$17)</f>
        <v>0.49436183564054981</v>
      </c>
      <c r="G27" s="455"/>
      <c r="H27" s="456"/>
      <c r="J27" s="1207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07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0.58010900777057783</v>
      </c>
      <c r="D29" s="1000">
        <f t="shared" si="3"/>
        <v>0.54113323062005925</v>
      </c>
      <c r="E29" s="1000">
        <f t="shared" si="3"/>
        <v>0.52454993261371008</v>
      </c>
      <c r="F29" s="455">
        <f t="shared" si="3"/>
        <v>0.50679762814188412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0.58656818702547853</v>
      </c>
      <c r="D30" s="455">
        <f t="shared" si="3"/>
        <v>0.54772453054380177</v>
      </c>
      <c r="E30" s="559">
        <f t="shared" si="3"/>
        <v>0.53117306185011048</v>
      </c>
      <c r="F30" s="455">
        <f t="shared" si="3"/>
        <v>0.51343866671491034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0.59734759004090021</v>
      </c>
      <c r="D31" s="559">
        <f t="shared" si="3"/>
        <v>0.55875484870599312</v>
      </c>
      <c r="E31" s="1002">
        <f t="shared" si="3"/>
        <v>0.54226970452097845</v>
      </c>
      <c r="F31" s="455">
        <f t="shared" si="3"/>
        <v>0.52457936722322129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0.60645315371669439</v>
      </c>
      <c r="D33" s="455">
        <f t="shared" si="4"/>
        <v>0.56810213712138158</v>
      </c>
      <c r="E33" s="559">
        <f t="shared" si="4"/>
        <v>0.55168601802112793</v>
      </c>
      <c r="F33" s="455">
        <f t="shared" si="4"/>
        <v>0.53404689735909672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0.61564207731813747</v>
      </c>
      <c r="D34" s="455">
        <f t="shared" si="4"/>
        <v>0.57756276922614469</v>
      </c>
      <c r="E34" s="998">
        <f t="shared" si="4"/>
        <v>0.5612285125554618</v>
      </c>
      <c r="F34" s="455">
        <f t="shared" si="4"/>
        <v>0.54365427641080688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0.62327752653897428</v>
      </c>
      <c r="D35" s="455">
        <f t="shared" si="4"/>
        <v>0.58544530227671754</v>
      </c>
      <c r="E35" s="455">
        <f t="shared" si="4"/>
        <v>0.56918848922387266</v>
      </c>
      <c r="F35" s="455">
        <f t="shared" si="4"/>
        <v>0.55167839332704693</v>
      </c>
      <c r="G35" s="455"/>
      <c r="H35" s="456"/>
      <c r="R35" s="453"/>
      <c r="S35" s="454"/>
      <c r="AC35" s="1190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90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0.63509254979667895</v>
      </c>
      <c r="D37" s="455">
        <f t="shared" si="5"/>
        <v>0.59768095931240006</v>
      </c>
      <c r="E37" s="455">
        <f t="shared" si="5"/>
        <v>0.58156102230796825</v>
      </c>
      <c r="F37" s="455">
        <f t="shared" si="5"/>
        <v>0.56416874676604689</v>
      </c>
      <c r="G37" s="455"/>
      <c r="H37" s="456"/>
      <c r="AC37" s="1190"/>
    </row>
    <row r="38" spans="2:40" ht="15.75" thickBot="1" x14ac:dyDescent="0.3">
      <c r="B38" s="438">
        <v>760</v>
      </c>
      <c r="C38" s="455">
        <f t="shared" si="5"/>
        <v>0.64093661052136408</v>
      </c>
      <c r="D38" s="689">
        <f t="shared" si="5"/>
        <v>0.60375034716107323</v>
      </c>
      <c r="E38" s="689">
        <f t="shared" si="5"/>
        <v>0.58770584066447817</v>
      </c>
      <c r="F38" s="455">
        <f t="shared" si="5"/>
        <v>0.57038029401515367</v>
      </c>
      <c r="G38" s="455"/>
      <c r="H38" s="456"/>
      <c r="AC38" s="1190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0.64736416632290339</v>
      </c>
      <c r="D39" s="559">
        <f t="shared" si="5"/>
        <v>0.61043897796532931</v>
      </c>
      <c r="E39" s="559">
        <f t="shared" si="5"/>
        <v>0.59448339462688515</v>
      </c>
      <c r="F39" s="455">
        <f t="shared" si="5"/>
        <v>0.57723778137421855</v>
      </c>
      <c r="G39" s="455"/>
      <c r="H39" s="456"/>
      <c r="AC39" s="1190"/>
    </row>
    <row r="40" spans="2:40" ht="15.75" thickBot="1" x14ac:dyDescent="0.3">
      <c r="B40" s="449">
        <v>0</v>
      </c>
      <c r="C40" s="457">
        <f t="shared" si="5"/>
        <v>0.70159025948634335</v>
      </c>
      <c r="D40" s="457">
        <f t="shared" si="5"/>
        <v>0.66742614030681469</v>
      </c>
      <c r="E40" s="457">
        <f t="shared" si="5"/>
        <v>0.65247583692635813</v>
      </c>
      <c r="F40" s="457">
        <f t="shared" si="5"/>
        <v>0.63618718387270257</v>
      </c>
      <c r="G40" s="457"/>
      <c r="H40" s="458"/>
      <c r="AC40" s="1190"/>
      <c r="AD40" s="467" t="s">
        <v>423</v>
      </c>
      <c r="AE40" s="1193" t="s">
        <v>424</v>
      </c>
      <c r="AF40" s="1193"/>
      <c r="AG40" s="995" t="s">
        <v>409</v>
      </c>
      <c r="AH40" s="995" t="s">
        <v>410</v>
      </c>
      <c r="AI40" s="995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0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0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0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0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0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0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0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0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0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0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0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0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0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0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0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0"/>
      <c r="AG56" s="453"/>
    </row>
    <row r="57" spans="29:40" x14ac:dyDescent="0.25">
      <c r="AC57" s="1190"/>
      <c r="AD57" s="425" t="s">
        <v>426</v>
      </c>
      <c r="AE57" s="492"/>
      <c r="AF57" s="492"/>
      <c r="AG57" s="493"/>
      <c r="AH57" s="494"/>
    </row>
    <row r="58" spans="29:40" x14ac:dyDescent="0.25">
      <c r="AC58" s="1190"/>
      <c r="AD58" s="495" t="s">
        <v>419</v>
      </c>
      <c r="AE58" s="1195" t="s">
        <v>427</v>
      </c>
      <c r="AF58" s="1195"/>
      <c r="AG58" s="1195"/>
      <c r="AH58" s="1197"/>
      <c r="AN58" s="515" t="s">
        <v>241</v>
      </c>
    </row>
    <row r="59" spans="29:40" x14ac:dyDescent="0.25">
      <c r="AC59" s="1190"/>
      <c r="AD59" s="495">
        <v>1</v>
      </c>
      <c r="AE59" s="1194">
        <v>47.4</v>
      </c>
      <c r="AF59" s="1195"/>
      <c r="AG59" s="1195"/>
      <c r="AH59" s="1197"/>
      <c r="AI59" s="380" t="s">
        <v>663</v>
      </c>
    </row>
    <row r="60" spans="29:40" x14ac:dyDescent="0.25">
      <c r="AC60" s="1190"/>
      <c r="AD60" s="513">
        <v>2</v>
      </c>
      <c r="AE60" s="1208">
        <v>42.7</v>
      </c>
      <c r="AF60" s="1209"/>
      <c r="AG60" s="1209"/>
      <c r="AH60" s="1210"/>
      <c r="AI60" s="380" t="s">
        <v>435</v>
      </c>
    </row>
    <row r="61" spans="29:40" x14ac:dyDescent="0.25">
      <c r="AC61" s="1190"/>
      <c r="AD61" s="496">
        <v>3</v>
      </c>
      <c r="AE61" s="1211">
        <v>38</v>
      </c>
      <c r="AF61" s="1202"/>
      <c r="AG61" s="1202"/>
      <c r="AH61" s="1203"/>
      <c r="AI61" s="380" t="s">
        <v>437</v>
      </c>
    </row>
    <row r="62" spans="29:40" x14ac:dyDescent="0.25">
      <c r="AC62" s="1190"/>
      <c r="AD62" s="496">
        <v>4</v>
      </c>
      <c r="AE62" s="1198">
        <v>22.8</v>
      </c>
      <c r="AF62" s="1199"/>
      <c r="AG62" s="1199"/>
      <c r="AH62" s="1201"/>
      <c r="AI62" s="380" t="s">
        <v>436</v>
      </c>
    </row>
    <row r="63" spans="29:40" ht="15.75" thickBot="1" x14ac:dyDescent="0.3">
      <c r="AC63" s="1190"/>
      <c r="AD63" s="514">
        <v>5</v>
      </c>
      <c r="AE63" s="1212">
        <v>20.6</v>
      </c>
      <c r="AF63" s="1213"/>
      <c r="AG63" s="1213"/>
      <c r="AH63" s="1214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E2C7-0DA1-409B-AE7A-94C9A108A877}">
  <sheetPr codeName="Sheet13"/>
  <dimension ref="A1:AN65"/>
  <sheetViews>
    <sheetView showGridLines="0" zoomScaleNormal="100" workbookViewId="0">
      <selection activeCell="F14" sqref="F14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0"/>
      <c r="L2" s="991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0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0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0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0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0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91" t="s">
        <v>384</v>
      </c>
      <c r="D8" s="1191"/>
      <c r="E8" s="1191"/>
      <c r="F8" s="1191"/>
      <c r="G8" s="1191"/>
      <c r="H8" s="1192"/>
      <c r="J8" s="262" t="s">
        <v>385</v>
      </c>
      <c r="K8" s="252">
        <v>0.45</v>
      </c>
      <c r="L8" s="87" t="s">
        <v>184</v>
      </c>
      <c r="M8" s="381"/>
      <c r="AC8" s="1190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0"/>
      <c r="AD9" s="467" t="s">
        <v>407</v>
      </c>
      <c r="AE9" s="1193" t="s">
        <v>408</v>
      </c>
      <c r="AF9" s="1193"/>
      <c r="AG9" s="992" t="s">
        <v>409</v>
      </c>
      <c r="AH9" s="992" t="s">
        <v>410</v>
      </c>
      <c r="AI9" s="992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1190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0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145">
        <f t="shared" si="0"/>
        <v>0.30403662694094868</v>
      </c>
      <c r="E12" s="999">
        <f t="shared" si="0"/>
        <v>0.3143657022253547</v>
      </c>
      <c r="F12" s="145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0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1190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145">
        <f t="shared" si="0"/>
        <v>0.3133457458048528</v>
      </c>
      <c r="E14" s="145">
        <f t="shared" si="0"/>
        <v>0.32432844848396125</v>
      </c>
      <c r="F14" s="145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90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190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90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0.29574853148044267</v>
      </c>
      <c r="D17" s="145">
        <f t="shared" si="1"/>
        <v>0.32324293146912941</v>
      </c>
      <c r="E17" s="145">
        <f t="shared" si="1"/>
        <v>0.33494333265672649</v>
      </c>
      <c r="F17" s="145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190"/>
      <c r="AD17" s="495" t="s">
        <v>419</v>
      </c>
      <c r="AE17" s="1194" t="s">
        <v>420</v>
      </c>
      <c r="AF17" s="1195"/>
      <c r="AG17" s="1195"/>
      <c r="AH17" s="1196"/>
      <c r="AI17" s="1195" t="s">
        <v>421</v>
      </c>
      <c r="AJ17" s="1195"/>
      <c r="AK17" s="1195"/>
      <c r="AL17" s="1197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1190"/>
      <c r="AD18" s="496">
        <v>1</v>
      </c>
      <c r="AE18" s="1198">
        <v>40.9</v>
      </c>
      <c r="AF18" s="1199"/>
      <c r="AG18" s="1199"/>
      <c r="AH18" s="1200"/>
      <c r="AI18" s="1199">
        <v>30.6</v>
      </c>
      <c r="AJ18" s="1199"/>
      <c r="AK18" s="1199"/>
      <c r="AL18" s="1201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0"/>
      <c r="AD19" s="496">
        <v>2</v>
      </c>
      <c r="AE19" s="1198">
        <v>30.6</v>
      </c>
      <c r="AF19" s="1199"/>
      <c r="AG19" s="1199"/>
      <c r="AH19" s="1200"/>
      <c r="AI19" s="1202">
        <v>23</v>
      </c>
      <c r="AJ19" s="1202"/>
      <c r="AK19" s="1202"/>
      <c r="AL19" s="1203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1190"/>
      <c r="AD20" s="513">
        <v>3</v>
      </c>
      <c r="AE20" s="1204">
        <v>23</v>
      </c>
      <c r="AF20" s="1205"/>
      <c r="AG20" s="1205"/>
      <c r="AH20" s="1206"/>
      <c r="AI20" s="1205">
        <v>17.2</v>
      </c>
      <c r="AJ20" s="1205"/>
      <c r="AK20" s="1205"/>
      <c r="AL20" s="1215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0"/>
      <c r="AD21" s="497">
        <v>4</v>
      </c>
      <c r="AE21" s="1216">
        <v>17.2</v>
      </c>
      <c r="AF21" s="1217"/>
      <c r="AG21" s="1217"/>
      <c r="AH21" s="1218"/>
      <c r="AI21" s="1217">
        <v>12.9</v>
      </c>
      <c r="AJ21" s="1217"/>
      <c r="AK21" s="1217"/>
      <c r="AL21" s="1219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91" t="s">
        <v>395</v>
      </c>
      <c r="D25" s="1191"/>
      <c r="E25" s="1191"/>
      <c r="F25" s="1191"/>
      <c r="G25" s="1191"/>
      <c r="H25" s="1192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1207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07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1000">
        <f t="shared" si="3"/>
        <v>0.52460452956366033</v>
      </c>
      <c r="E29" s="1000">
        <f t="shared" si="3"/>
        <v>0.50845385833234091</v>
      </c>
      <c r="F29" s="455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559">
        <f t="shared" si="3"/>
        <v>0.54066708745803904</v>
      </c>
      <c r="E31" s="1002">
        <f t="shared" si="3"/>
        <v>0.52456756519958458</v>
      </c>
      <c r="F31" s="455">
        <f t="shared" si="3"/>
        <v>0.50737063191081067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0.59536172014527056</v>
      </c>
      <c r="D34" s="455">
        <f t="shared" si="4"/>
        <v>0.55774433397814493</v>
      </c>
      <c r="E34" s="998">
        <f t="shared" si="4"/>
        <v>0.54173603738082909</v>
      </c>
      <c r="F34" s="455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1190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90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1190"/>
    </row>
    <row r="38" spans="2:40" ht="15.75" thickBot="1" x14ac:dyDescent="0.3">
      <c r="B38" s="438">
        <v>760</v>
      </c>
      <c r="C38" s="455">
        <f t="shared" si="5"/>
        <v>0.6183900494231489</v>
      </c>
      <c r="D38" s="689">
        <f t="shared" si="5"/>
        <v>0.5814083040982102</v>
      </c>
      <c r="E38" s="689">
        <f t="shared" si="5"/>
        <v>0.56558941889668513</v>
      </c>
      <c r="F38" s="455">
        <f t="shared" si="5"/>
        <v>0.5485994479706704</v>
      </c>
      <c r="G38" s="455"/>
      <c r="H38" s="456"/>
      <c r="AC38" s="1190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1190"/>
    </row>
    <row r="40" spans="2:40" ht="15.75" thickBot="1" x14ac:dyDescent="0.3">
      <c r="B40" s="449">
        <v>0</v>
      </c>
      <c r="C40" s="457">
        <f t="shared" si="5"/>
        <v>0.67317819098806753</v>
      </c>
      <c r="D40" s="457">
        <f t="shared" si="5"/>
        <v>0.63840126044614187</v>
      </c>
      <c r="E40" s="457">
        <f t="shared" si="5"/>
        <v>0.62334086087969454</v>
      </c>
      <c r="F40" s="457">
        <f t="shared" si="5"/>
        <v>0.6070402868556668</v>
      </c>
      <c r="G40" s="457"/>
      <c r="H40" s="458"/>
      <c r="AC40" s="1190"/>
      <c r="AD40" s="467" t="s">
        <v>423</v>
      </c>
      <c r="AE40" s="1193" t="s">
        <v>424</v>
      </c>
      <c r="AF40" s="1193"/>
      <c r="AG40" s="992" t="s">
        <v>409</v>
      </c>
      <c r="AH40" s="992" t="s">
        <v>410</v>
      </c>
      <c r="AI40" s="992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0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0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0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0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0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0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0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0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0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0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0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0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0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0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0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0"/>
      <c r="AG56" s="453"/>
    </row>
    <row r="57" spans="29:40" x14ac:dyDescent="0.25">
      <c r="AC57" s="1190"/>
      <c r="AD57" s="425" t="s">
        <v>426</v>
      </c>
      <c r="AE57" s="492"/>
      <c r="AF57" s="492"/>
      <c r="AG57" s="493"/>
      <c r="AH57" s="494"/>
    </row>
    <row r="58" spans="29:40" x14ac:dyDescent="0.25">
      <c r="AC58" s="1190"/>
      <c r="AD58" s="495" t="s">
        <v>419</v>
      </c>
      <c r="AE58" s="1195" t="s">
        <v>427</v>
      </c>
      <c r="AF58" s="1195"/>
      <c r="AG58" s="1195"/>
      <c r="AH58" s="1197"/>
      <c r="AN58" s="515" t="s">
        <v>241</v>
      </c>
    </row>
    <row r="59" spans="29:40" x14ac:dyDescent="0.25">
      <c r="AC59" s="1190"/>
      <c r="AD59" s="495">
        <v>1</v>
      </c>
      <c r="AE59" s="1194">
        <v>47.4</v>
      </c>
      <c r="AF59" s="1195"/>
      <c r="AG59" s="1195"/>
      <c r="AH59" s="1197"/>
      <c r="AI59" s="380" t="s">
        <v>663</v>
      </c>
    </row>
    <row r="60" spans="29:40" x14ac:dyDescent="0.25">
      <c r="AC60" s="1190"/>
      <c r="AD60" s="513">
        <v>2</v>
      </c>
      <c r="AE60" s="1208">
        <v>42.7</v>
      </c>
      <c r="AF60" s="1209"/>
      <c r="AG60" s="1209"/>
      <c r="AH60" s="1210"/>
      <c r="AI60" s="380" t="s">
        <v>435</v>
      </c>
    </row>
    <row r="61" spans="29:40" x14ac:dyDescent="0.25">
      <c r="AC61" s="1190"/>
      <c r="AD61" s="496">
        <v>3</v>
      </c>
      <c r="AE61" s="1211">
        <v>38</v>
      </c>
      <c r="AF61" s="1202"/>
      <c r="AG61" s="1202"/>
      <c r="AH61" s="1203"/>
      <c r="AI61" s="380" t="s">
        <v>437</v>
      </c>
    </row>
    <row r="62" spans="29:40" x14ac:dyDescent="0.25">
      <c r="AC62" s="1190"/>
      <c r="AD62" s="496">
        <v>4</v>
      </c>
      <c r="AE62" s="1198">
        <v>22.8</v>
      </c>
      <c r="AF62" s="1199"/>
      <c r="AG62" s="1199"/>
      <c r="AH62" s="1201"/>
      <c r="AI62" s="380" t="s">
        <v>436</v>
      </c>
    </row>
    <row r="63" spans="29:40" ht="15.75" thickBot="1" x14ac:dyDescent="0.3">
      <c r="AC63" s="1190"/>
      <c r="AD63" s="514">
        <v>5</v>
      </c>
      <c r="AE63" s="1212">
        <v>20.6</v>
      </c>
      <c r="AF63" s="1213"/>
      <c r="AG63" s="1213"/>
      <c r="AH63" s="1214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C7B6-A015-46B0-BFD8-7AAE374556C5}">
  <sheetPr codeName="Sheet14"/>
  <dimension ref="A1:AN65"/>
  <sheetViews>
    <sheetView showGridLines="0" topLeftCell="A7" zoomScaleNormal="100" workbookViewId="0">
      <selection activeCell="F17" sqref="F17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0"/>
      <c r="L2" s="991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0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0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0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0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0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91" t="s">
        <v>384</v>
      </c>
      <c r="D8" s="1191"/>
      <c r="E8" s="1191"/>
      <c r="F8" s="1191"/>
      <c r="G8" s="1191"/>
      <c r="H8" s="1192"/>
      <c r="J8" s="262" t="s">
        <v>385</v>
      </c>
      <c r="K8" s="252">
        <v>0.45</v>
      </c>
      <c r="L8" s="87" t="s">
        <v>184</v>
      </c>
      <c r="M8" s="381"/>
      <c r="AC8" s="1190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0"/>
      <c r="AD9" s="467" t="s">
        <v>407</v>
      </c>
      <c r="AE9" s="1193" t="s">
        <v>408</v>
      </c>
      <c r="AF9" s="1193"/>
      <c r="AG9" s="992" t="s">
        <v>409</v>
      </c>
      <c r="AH9" s="992" t="s">
        <v>410</v>
      </c>
      <c r="AI9" s="992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1190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0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1001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0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1190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90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1190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90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00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1190"/>
      <c r="AD17" s="495" t="s">
        <v>419</v>
      </c>
      <c r="AE17" s="1194" t="s">
        <v>420</v>
      </c>
      <c r="AF17" s="1195"/>
      <c r="AG17" s="1195"/>
      <c r="AH17" s="1196"/>
      <c r="AI17" s="1195" t="s">
        <v>421</v>
      </c>
      <c r="AJ17" s="1195"/>
      <c r="AK17" s="1195"/>
      <c r="AL17" s="1197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1190"/>
      <c r="AD18" s="496">
        <v>1</v>
      </c>
      <c r="AE18" s="1198">
        <v>40.9</v>
      </c>
      <c r="AF18" s="1199"/>
      <c r="AG18" s="1199"/>
      <c r="AH18" s="1200"/>
      <c r="AI18" s="1199">
        <v>30.6</v>
      </c>
      <c r="AJ18" s="1199"/>
      <c r="AK18" s="1199"/>
      <c r="AL18" s="1201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0"/>
      <c r="AD19" s="496">
        <v>2</v>
      </c>
      <c r="AE19" s="1198">
        <v>30.6</v>
      </c>
      <c r="AF19" s="1199"/>
      <c r="AG19" s="1199"/>
      <c r="AH19" s="1200"/>
      <c r="AI19" s="1202">
        <v>23</v>
      </c>
      <c r="AJ19" s="1202"/>
      <c r="AK19" s="1202"/>
      <c r="AL19" s="1203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1190"/>
      <c r="AD20" s="513">
        <v>3</v>
      </c>
      <c r="AE20" s="1204">
        <v>23</v>
      </c>
      <c r="AF20" s="1205"/>
      <c r="AG20" s="1205"/>
      <c r="AH20" s="1206"/>
      <c r="AI20" s="1205">
        <v>17.2</v>
      </c>
      <c r="AJ20" s="1205"/>
      <c r="AK20" s="1205"/>
      <c r="AL20" s="1215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0"/>
      <c r="AD21" s="497">
        <v>4</v>
      </c>
      <c r="AE21" s="1216">
        <v>17.2</v>
      </c>
      <c r="AF21" s="1217"/>
      <c r="AG21" s="1217"/>
      <c r="AH21" s="1218"/>
      <c r="AI21" s="1217">
        <v>12.9</v>
      </c>
      <c r="AJ21" s="1217"/>
      <c r="AK21" s="1217"/>
      <c r="AL21" s="1219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91" t="s">
        <v>395</v>
      </c>
      <c r="D25" s="1191"/>
      <c r="E25" s="1191"/>
      <c r="F25" s="1191"/>
      <c r="G25" s="1191"/>
      <c r="H25" s="1192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0.53998430960862509</v>
      </c>
      <c r="D27" s="455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455">
        <f>((F$2*$K$22/(F$2+$K$22))+$K$16)/((F$2*$K$22/(F$2+$K$22))+($B27*$K$24/($B27+$K$24))+$K$16+$K$17)</f>
        <v>0.4681861816387064</v>
      </c>
      <c r="G27" s="455"/>
      <c r="H27" s="456"/>
      <c r="J27" s="1207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07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0.55069602792220984</v>
      </c>
      <c r="D29" s="455">
        <f t="shared" si="3"/>
        <v>0.51232755987518264</v>
      </c>
      <c r="E29" s="1000">
        <f t="shared" si="3"/>
        <v>0.49616037949369102</v>
      </c>
      <c r="F29" s="455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0.55637096909121786</v>
      </c>
      <c r="D30" s="455">
        <f t="shared" si="3"/>
        <v>0.51806300912898651</v>
      </c>
      <c r="E30" s="559">
        <f t="shared" si="3"/>
        <v>0.50190110943027733</v>
      </c>
      <c r="F30" s="455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0.56582089196636642</v>
      </c>
      <c r="D31" s="455">
        <f t="shared" si="3"/>
        <v>0.52763614284573057</v>
      </c>
      <c r="E31" s="559">
        <f t="shared" si="3"/>
        <v>0.51149255840288199</v>
      </c>
      <c r="F31" s="455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0.5737833120921364</v>
      </c>
      <c r="D33" s="455">
        <f t="shared" si="4"/>
        <v>0.5357242371993598</v>
      </c>
      <c r="E33" s="559">
        <f t="shared" si="4"/>
        <v>0.51960540183717419</v>
      </c>
      <c r="F33" s="455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0.58180002762512295</v>
      </c>
      <c r="D34" s="455">
        <f t="shared" si="4"/>
        <v>0.54388775948976442</v>
      </c>
      <c r="E34" s="998">
        <f t="shared" si="4"/>
        <v>0.52780253274979638</v>
      </c>
      <c r="F34" s="1002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0.58844727528709218</v>
      </c>
      <c r="D35" s="455">
        <f t="shared" si="4"/>
        <v>0.55067221810722211</v>
      </c>
      <c r="E35" s="455">
        <f t="shared" si="4"/>
        <v>0.53462152819222919</v>
      </c>
      <c r="F35" s="455">
        <f t="shared" si="4"/>
        <v>0.51745372671209122</v>
      </c>
      <c r="G35" s="455"/>
      <c r="H35" s="456"/>
      <c r="R35" s="453"/>
      <c r="S35" s="454"/>
      <c r="AC35" s="1190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90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0.59870791375464172</v>
      </c>
      <c r="D37" s="455">
        <f t="shared" si="5"/>
        <v>0.56117231766049191</v>
      </c>
      <c r="E37" s="455">
        <f t="shared" si="5"/>
        <v>0.54518692038184025</v>
      </c>
      <c r="F37" s="455">
        <f t="shared" si="5"/>
        <v>0.52806481935833927</v>
      </c>
      <c r="G37" s="455"/>
      <c r="H37" s="456"/>
      <c r="AC37" s="1190"/>
    </row>
    <row r="38" spans="2:40" ht="15.75" thickBot="1" x14ac:dyDescent="0.3">
      <c r="B38" s="438">
        <v>760</v>
      </c>
      <c r="C38" s="455">
        <f t="shared" si="5"/>
        <v>0.60377182634625981</v>
      </c>
      <c r="D38" s="689">
        <f t="shared" si="5"/>
        <v>0.56636682765773416</v>
      </c>
      <c r="E38" s="689">
        <f t="shared" si="5"/>
        <v>0.55041905814183001</v>
      </c>
      <c r="F38" s="455">
        <f t="shared" si="5"/>
        <v>0.53332532293149859</v>
      </c>
      <c r="G38" s="455"/>
      <c r="H38" s="456"/>
      <c r="AC38" s="1190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455">
        <f t="shared" si="5"/>
        <v>0.53912021294587875</v>
      </c>
      <c r="G39" s="455"/>
      <c r="H39" s="456"/>
      <c r="AC39" s="1190"/>
    </row>
    <row r="40" spans="2:40" ht="15.75" thickBot="1" x14ac:dyDescent="0.3">
      <c r="B40" s="449">
        <v>0</v>
      </c>
      <c r="C40" s="457">
        <f t="shared" si="5"/>
        <v>0.65589113466375115</v>
      </c>
      <c r="D40" s="457">
        <f t="shared" si="5"/>
        <v>0.62031222115244589</v>
      </c>
      <c r="E40" s="457">
        <f t="shared" si="5"/>
        <v>0.60496461721951855</v>
      </c>
      <c r="F40" s="457">
        <f t="shared" si="5"/>
        <v>0.58839391014880182</v>
      </c>
      <c r="G40" s="457"/>
      <c r="H40" s="458"/>
      <c r="AC40" s="1190"/>
      <c r="AD40" s="467" t="s">
        <v>423</v>
      </c>
      <c r="AE40" s="1193" t="s">
        <v>424</v>
      </c>
      <c r="AF40" s="1193"/>
      <c r="AG40" s="992" t="s">
        <v>409</v>
      </c>
      <c r="AH40" s="992" t="s">
        <v>410</v>
      </c>
      <c r="AI40" s="992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0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0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0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0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0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0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0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0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0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0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0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0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0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0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0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0"/>
      <c r="AG56" s="453"/>
    </row>
    <row r="57" spans="29:40" x14ac:dyDescent="0.25">
      <c r="AC57" s="1190"/>
      <c r="AD57" s="425" t="s">
        <v>426</v>
      </c>
      <c r="AE57" s="492"/>
      <c r="AF57" s="492"/>
      <c r="AG57" s="493"/>
      <c r="AH57" s="494"/>
    </row>
    <row r="58" spans="29:40" x14ac:dyDescent="0.25">
      <c r="AC58" s="1190"/>
      <c r="AD58" s="495" t="s">
        <v>419</v>
      </c>
      <c r="AE58" s="1195" t="s">
        <v>427</v>
      </c>
      <c r="AF58" s="1195"/>
      <c r="AG58" s="1195"/>
      <c r="AH58" s="1197"/>
      <c r="AN58" s="515" t="s">
        <v>241</v>
      </c>
    </row>
    <row r="59" spans="29:40" x14ac:dyDescent="0.25">
      <c r="AC59" s="1190"/>
      <c r="AD59" s="495">
        <v>1</v>
      </c>
      <c r="AE59" s="1194">
        <v>47.4</v>
      </c>
      <c r="AF59" s="1195"/>
      <c r="AG59" s="1195"/>
      <c r="AH59" s="1197"/>
      <c r="AI59" s="380" t="s">
        <v>663</v>
      </c>
    </row>
    <row r="60" spans="29:40" x14ac:dyDescent="0.25">
      <c r="AC60" s="1190"/>
      <c r="AD60" s="513">
        <v>2</v>
      </c>
      <c r="AE60" s="1208">
        <v>42.7</v>
      </c>
      <c r="AF60" s="1209"/>
      <c r="AG60" s="1209"/>
      <c r="AH60" s="1210"/>
      <c r="AI60" s="380" t="s">
        <v>435</v>
      </c>
    </row>
    <row r="61" spans="29:40" x14ac:dyDescent="0.25">
      <c r="AC61" s="1190"/>
      <c r="AD61" s="496">
        <v>3</v>
      </c>
      <c r="AE61" s="1211">
        <v>38</v>
      </c>
      <c r="AF61" s="1202"/>
      <c r="AG61" s="1202"/>
      <c r="AH61" s="1203"/>
      <c r="AI61" s="380" t="s">
        <v>437</v>
      </c>
    </row>
    <row r="62" spans="29:40" x14ac:dyDescent="0.25">
      <c r="AC62" s="1190"/>
      <c r="AD62" s="496">
        <v>4</v>
      </c>
      <c r="AE62" s="1198">
        <v>22.8</v>
      </c>
      <c r="AF62" s="1199"/>
      <c r="AG62" s="1199"/>
      <c r="AH62" s="1201"/>
      <c r="AI62" s="380" t="s">
        <v>436</v>
      </c>
    </row>
    <row r="63" spans="29:40" ht="15.75" thickBot="1" x14ac:dyDescent="0.3">
      <c r="AC63" s="1190"/>
      <c r="AD63" s="514">
        <v>5</v>
      </c>
      <c r="AE63" s="1212">
        <v>20.6</v>
      </c>
      <c r="AF63" s="1213"/>
      <c r="AG63" s="1213"/>
      <c r="AH63" s="1214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2C9A-A115-4CB6-A9E9-A122A0E637F6}">
  <sheetPr codeName="Sheet15"/>
  <dimension ref="A1:AN65"/>
  <sheetViews>
    <sheetView showGridLines="0" zoomScaleNormal="100" workbookViewId="0">
      <selection activeCell="AL46" sqref="AL46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426"/>
      <c r="L2" s="427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0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0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0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0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0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91" t="s">
        <v>384</v>
      </c>
      <c r="D8" s="1191"/>
      <c r="E8" s="1191"/>
      <c r="F8" s="1191"/>
      <c r="G8" s="1191"/>
      <c r="H8" s="1192"/>
      <c r="J8" s="262" t="s">
        <v>385</v>
      </c>
      <c r="K8" s="252">
        <v>0.45</v>
      </c>
      <c r="L8" s="87" t="s">
        <v>184</v>
      </c>
      <c r="M8" s="381"/>
      <c r="AC8" s="1190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0"/>
      <c r="AD9" s="467" t="s">
        <v>407</v>
      </c>
      <c r="AE9" s="1193" t="s">
        <v>408</v>
      </c>
      <c r="AF9" s="1193"/>
      <c r="AG9" s="468" t="s">
        <v>409</v>
      </c>
      <c r="AH9" s="468" t="s">
        <v>410</v>
      </c>
      <c r="AI9" s="468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0.26345717766173965</v>
      </c>
      <c r="D10" s="145">
        <f>$K$3*$K$9*9.81/($K$16+$K$17+($B10*$K$24/($B10+$K$24))+(D$2*$K$22/(D$2+$K$22)))</f>
        <v>0.28505614865203066</v>
      </c>
      <c r="E10" s="145">
        <f>$K$3*$K$9*9.81/($K$16+$K$17+($B10*$K$24/($B10+$K$24))+(E$2*$K$22/(E$2+$K$22)))</f>
        <v>0.29411661069186923</v>
      </c>
      <c r="F10" s="145">
        <f>$K$3*$K$9*9.81/($K$16+$K$17+($B10*$K$24/($B10+$K$24))+(F$2*$K$22/(F$2+$K$22)))</f>
        <v>0.30373174605604181</v>
      </c>
      <c r="G10" s="145"/>
      <c r="H10" s="146"/>
      <c r="J10" s="99"/>
      <c r="L10" s="87"/>
      <c r="M10" s="381"/>
      <c r="AC10" s="1190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0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0.26858840991747529</v>
      </c>
      <c r="D12" s="145">
        <f t="shared" si="0"/>
        <v>0.29107282207483731</v>
      </c>
      <c r="E12" s="999">
        <f t="shared" si="0"/>
        <v>0.30052614056765081</v>
      </c>
      <c r="F12" s="145">
        <f t="shared" si="0"/>
        <v>0.31057207456419372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0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0.27130540582856189</v>
      </c>
      <c r="D13" s="145">
        <f t="shared" si="0"/>
        <v>0.2942664601024278</v>
      </c>
      <c r="E13" s="558">
        <f t="shared" si="0"/>
        <v>0.30393180356491523</v>
      </c>
      <c r="F13" s="145">
        <f t="shared" si="0"/>
        <v>0.31421060923251942</v>
      </c>
      <c r="G13" s="145"/>
      <c r="H13" s="146"/>
      <c r="J13" s="99"/>
      <c r="L13" s="87"/>
      <c r="M13" s="381"/>
      <c r="AC13" s="1190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0.27582749516324356</v>
      </c>
      <c r="D14" s="145">
        <f t="shared" si="0"/>
        <v>0.29959387886125183</v>
      </c>
      <c r="E14" s="145">
        <f t="shared" si="0"/>
        <v>0.30961831510758814</v>
      </c>
      <c r="F14" s="145">
        <f t="shared" si="0"/>
        <v>0.32029210220955551</v>
      </c>
      <c r="G14" s="145"/>
      <c r="H14" s="146"/>
      <c r="J14" s="262" t="s">
        <v>389</v>
      </c>
      <c r="K14" s="443">
        <v>124</v>
      </c>
      <c r="L14" s="87" t="s">
        <v>69</v>
      </c>
      <c r="M14" s="381">
        <v>1100</v>
      </c>
      <c r="AC14" s="1190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190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0.27963557890423052</v>
      </c>
      <c r="D16" s="145">
        <f t="shared" si="1"/>
        <v>0.30409182434384663</v>
      </c>
      <c r="E16" s="145">
        <f t="shared" si="1"/>
        <v>0.31442471415648343</v>
      </c>
      <c r="F16" s="145">
        <f t="shared" si="1"/>
        <v>0.32543835930757614</v>
      </c>
      <c r="G16" s="145"/>
      <c r="H16" s="146"/>
      <c r="J16" s="262" t="s">
        <v>391</v>
      </c>
      <c r="K16" s="278">
        <f>(K21*K14/(K14+K21)*1000)*((2*$K$11)^2/2)*(6.28/360)</f>
        <v>2894.7787592696563</v>
      </c>
      <c r="L16" s="87" t="s">
        <v>392</v>
      </c>
      <c r="M16" s="381"/>
      <c r="AC16" s="1190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0.28346760980292357</v>
      </c>
      <c r="D17" s="145">
        <f t="shared" si="1"/>
        <v>0.30862888353461171</v>
      </c>
      <c r="E17" s="145">
        <f t="shared" si="1"/>
        <v>0.31927780631950503</v>
      </c>
      <c r="F17" s="145">
        <f t="shared" si="1"/>
        <v>0.33064020586927945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190"/>
      <c r="AD17" s="495" t="s">
        <v>419</v>
      </c>
      <c r="AE17" s="1194" t="s">
        <v>420</v>
      </c>
      <c r="AF17" s="1195"/>
      <c r="AG17" s="1195"/>
      <c r="AH17" s="1196"/>
      <c r="AI17" s="1195" t="s">
        <v>421</v>
      </c>
      <c r="AJ17" s="1195"/>
      <c r="AK17" s="1195"/>
      <c r="AL17" s="1197"/>
    </row>
    <row r="18" spans="2:40" ht="15.75" thickBot="1" x14ac:dyDescent="0.3">
      <c r="B18" s="444">
        <v>1009.0731614400001</v>
      </c>
      <c r="C18" s="145">
        <f t="shared" si="1"/>
        <v>0.2866434921455086</v>
      </c>
      <c r="D18" s="145">
        <f t="shared" si="1"/>
        <v>0.31239733358249783</v>
      </c>
      <c r="E18" s="145">
        <f t="shared" si="1"/>
        <v>0.32331249562830144</v>
      </c>
      <c r="F18" s="145">
        <f t="shared" si="1"/>
        <v>0.33496912343972518</v>
      </c>
      <c r="G18" s="145"/>
      <c r="H18" s="146"/>
      <c r="J18" s="100"/>
      <c r="K18" s="88"/>
      <c r="L18" s="142"/>
      <c r="M18" s="381"/>
      <c r="AC18" s="1190"/>
      <c r="AD18" s="496">
        <v>1</v>
      </c>
      <c r="AE18" s="1198">
        <v>40.9</v>
      </c>
      <c r="AF18" s="1199"/>
      <c r="AG18" s="1199"/>
      <c r="AH18" s="1200"/>
      <c r="AI18" s="1199">
        <v>30.6</v>
      </c>
      <c r="AJ18" s="1199"/>
      <c r="AK18" s="1199"/>
      <c r="AL18" s="1201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0"/>
      <c r="AD19" s="496">
        <v>2</v>
      </c>
      <c r="AE19" s="1198">
        <v>30.6</v>
      </c>
      <c r="AF19" s="1199"/>
      <c r="AG19" s="1199"/>
      <c r="AH19" s="1200"/>
      <c r="AI19" s="1202">
        <v>23</v>
      </c>
      <c r="AJ19" s="1202"/>
      <c r="AK19" s="1202"/>
      <c r="AL19" s="1203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0.29154302739540022</v>
      </c>
      <c r="D20" s="145">
        <f t="shared" si="2"/>
        <v>0.31822578015032782</v>
      </c>
      <c r="E20" s="145">
        <f t="shared" si="2"/>
        <v>0.32955942165317886</v>
      </c>
      <c r="F20" s="145">
        <f t="shared" si="2"/>
        <v>0.34167929431134075</v>
      </c>
      <c r="G20" s="145"/>
      <c r="H20" s="146"/>
      <c r="J20" s="86" t="s">
        <v>394</v>
      </c>
      <c r="K20" s="69"/>
      <c r="L20" s="70"/>
      <c r="M20" s="381"/>
      <c r="AC20" s="1190"/>
      <c r="AD20" s="513">
        <v>3</v>
      </c>
      <c r="AE20" s="1204">
        <v>23</v>
      </c>
      <c r="AF20" s="1205"/>
      <c r="AG20" s="1205"/>
      <c r="AH20" s="1206"/>
      <c r="AI20" s="1205">
        <v>17.2</v>
      </c>
      <c r="AJ20" s="1205"/>
      <c r="AK20" s="1205"/>
      <c r="AL20" s="1215"/>
    </row>
    <row r="21" spans="2:40" ht="15.75" thickBot="1" x14ac:dyDescent="0.3">
      <c r="B21" s="438">
        <v>760</v>
      </c>
      <c r="C21" s="145">
        <f t="shared" si="2"/>
        <v>0.29395986442538385</v>
      </c>
      <c r="D21" s="558">
        <f t="shared" si="2"/>
        <v>0.32110743786674467</v>
      </c>
      <c r="E21" s="558">
        <f t="shared" si="2"/>
        <v>0.33265099265170134</v>
      </c>
      <c r="F21" s="145">
        <f t="shared" si="2"/>
        <v>0.34500358457541441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0"/>
      <c r="AD21" s="497">
        <v>4</v>
      </c>
      <c r="AE21" s="1216">
        <v>17.2</v>
      </c>
      <c r="AF21" s="1217"/>
      <c r="AG21" s="1217"/>
      <c r="AH21" s="1218"/>
      <c r="AI21" s="1217">
        <v>12.9</v>
      </c>
      <c r="AJ21" s="1217"/>
      <c r="AK21" s="1217"/>
      <c r="AL21" s="1219"/>
    </row>
    <row r="22" spans="2:40" x14ac:dyDescent="0.25">
      <c r="B22" s="438">
        <v>672.71544096000025</v>
      </c>
      <c r="C22" s="145">
        <f t="shared" si="2"/>
        <v>0.296612968830679</v>
      </c>
      <c r="D22" s="558">
        <f t="shared" si="2"/>
        <v>0.32427584609893734</v>
      </c>
      <c r="E22" s="558">
        <f t="shared" si="2"/>
        <v>0.33605250559690547</v>
      </c>
      <c r="F22" s="145">
        <f t="shared" si="2"/>
        <v>0.34866379988229868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0.31878789118260575</v>
      </c>
      <c r="D23" s="450">
        <f t="shared" si="2"/>
        <v>0.35096591514776998</v>
      </c>
      <c r="E23" s="450">
        <f t="shared" si="2"/>
        <v>0.36480230844345063</v>
      </c>
      <c r="F23" s="450">
        <f t="shared" si="2"/>
        <v>0.37971160351452921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91" t="s">
        <v>395</v>
      </c>
      <c r="D25" s="1191"/>
      <c r="E25" s="1191"/>
      <c r="F25" s="1191"/>
      <c r="G25" s="1191"/>
      <c r="H25" s="1192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0.56895061963994775</v>
      </c>
      <c r="D27" s="455">
        <f>((D$2*$K$22/(D$2+$K$22))+$K$16)/((D$2*$K$22/(D$2+$K$22))+($B27*$K$24/($B27+$K$24))+$K$16+$K$17)</f>
        <v>0.53361196178135128</v>
      </c>
      <c r="E27" s="559">
        <f>((E$2*$K$22/(E$2+$K$22))+$K$16)/((E$2*$K$22/(E$2+$K$22))+($B27*$K$24/($B27+$K$24))+$K$16+$K$17)</f>
        <v>0.5187878959399469</v>
      </c>
      <c r="F27" s="455">
        <f>((F$2*$K$22/(F$2+$K$22))+$K$16)/((F$2*$K$22/(F$2+$K$22))+($B27*$K$24/($B27+$K$24))+$K$16+$K$17)</f>
        <v>0.5030563141413823</v>
      </c>
      <c r="G27" s="455"/>
      <c r="H27" s="456"/>
      <c r="J27" s="1207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07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0.58003180481519323</v>
      </c>
      <c r="D29" s="1000">
        <f t="shared" si="3"/>
        <v>0.54487489690386537</v>
      </c>
      <c r="E29" s="1000">
        <f t="shared" si="3"/>
        <v>0.53009356993910972</v>
      </c>
      <c r="F29" s="455">
        <f t="shared" si="3"/>
        <v>0.5143856219648465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0.585899310574162</v>
      </c>
      <c r="D30" s="455">
        <f t="shared" si="3"/>
        <v>0.55085323998181945</v>
      </c>
      <c r="E30" s="559">
        <f t="shared" si="3"/>
        <v>0.53610076802450546</v>
      </c>
      <c r="F30" s="455">
        <f t="shared" si="3"/>
        <v>0.52041195231355442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0.59566501728926879</v>
      </c>
      <c r="D31" s="1002">
        <f t="shared" si="3"/>
        <v>0.56082592216590743</v>
      </c>
      <c r="E31" s="559">
        <f t="shared" si="3"/>
        <v>0.54613112078670345</v>
      </c>
      <c r="F31" s="455">
        <f t="shared" si="3"/>
        <v>0.53048443726525907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0.60388878869418794</v>
      </c>
      <c r="D33" s="455">
        <f t="shared" si="4"/>
        <v>0.56924586863716509</v>
      </c>
      <c r="E33" s="559">
        <f t="shared" si="4"/>
        <v>0.55460905626868306</v>
      </c>
      <c r="F33" s="455">
        <f t="shared" si="4"/>
        <v>0.53900793591487495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0.61216427533547468</v>
      </c>
      <c r="D34" s="455">
        <f t="shared" si="4"/>
        <v>0.57773903416595929</v>
      </c>
      <c r="E34" s="998">
        <f t="shared" si="4"/>
        <v>0.5631693530371451</v>
      </c>
      <c r="F34" s="455">
        <f t="shared" si="4"/>
        <v>0.54762350472531029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0.61902277219919399</v>
      </c>
      <c r="D35" s="455">
        <f t="shared" si="4"/>
        <v>0.58479339883213699</v>
      </c>
      <c r="E35" s="455">
        <f t="shared" si="4"/>
        <v>0.57028608123674607</v>
      </c>
      <c r="F35" s="455">
        <f t="shared" si="4"/>
        <v>0.55479328314158594</v>
      </c>
      <c r="G35" s="455"/>
      <c r="H35" s="456"/>
      <c r="R35" s="453"/>
      <c r="S35" s="454"/>
      <c r="AC35" s="1190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90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38" si="5">((C$2*$K$22/(C$2+$K$22))+$K$16)/((C$2*$K$22/(C$2+$K$22))+($B37*$K$24/($B37+$K$24))+$K$16+$K$17)</f>
        <v>0.62960359463536497</v>
      </c>
      <c r="D37" s="455">
        <f t="shared" si="5"/>
        <v>0.59570398196428365</v>
      </c>
      <c r="E37" s="455">
        <f t="shared" si="5"/>
        <v>0.58130494073235572</v>
      </c>
      <c r="F37" s="455">
        <f t="shared" si="5"/>
        <v>0.56590701711824742</v>
      </c>
      <c r="G37" s="455"/>
      <c r="H37" s="456"/>
      <c r="AC37" s="1190"/>
    </row>
    <row r="38" spans="2:40" ht="15.75" thickBot="1" x14ac:dyDescent="0.3">
      <c r="B38" s="438">
        <v>760</v>
      </c>
      <c r="C38" s="455">
        <f t="shared" si="5"/>
        <v>0.63482289037815698</v>
      </c>
      <c r="D38" s="689">
        <f t="shared" si="5"/>
        <v>0.60109831229011923</v>
      </c>
      <c r="E38" s="689">
        <f t="shared" si="5"/>
        <v>0.58675811663323263</v>
      </c>
      <c r="F38" s="455">
        <f t="shared" si="5"/>
        <v>0.57141287954157305</v>
      </c>
      <c r="G38" s="455"/>
      <c r="H38" s="456"/>
      <c r="AC38" s="1190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ref="C39:F40" si="6">((C$2*$K$22/(C$2+$K$22))+$K$16)/((C$2*$K$22/(C$2+$K$22))+($B39*$K$24/($B39+$K$24))+$K$16+$K$17)</f>
        <v>0.64055241883040603</v>
      </c>
      <c r="D39" s="559">
        <f t="shared" si="6"/>
        <v>0.6070294263548377</v>
      </c>
      <c r="E39" s="559">
        <f t="shared" si="6"/>
        <v>0.59275799450379474</v>
      </c>
      <c r="F39" s="455">
        <f t="shared" si="6"/>
        <v>0.57747511849141708</v>
      </c>
      <c r="G39" s="455"/>
      <c r="H39" s="456"/>
      <c r="AC39" s="1190"/>
    </row>
    <row r="40" spans="2:40" ht="15.75" thickBot="1" x14ac:dyDescent="0.3">
      <c r="B40" s="449">
        <v>0</v>
      </c>
      <c r="C40" s="457">
        <f t="shared" si="6"/>
        <v>0.68844041309410775</v>
      </c>
      <c r="D40" s="457">
        <f t="shared" si="6"/>
        <v>0.65699200450856388</v>
      </c>
      <c r="E40" s="457">
        <f t="shared" si="6"/>
        <v>0.64346934226603725</v>
      </c>
      <c r="F40" s="457">
        <f t="shared" si="6"/>
        <v>0.62889810558521075</v>
      </c>
      <c r="G40" s="457"/>
      <c r="H40" s="458"/>
      <c r="AC40" s="1190"/>
      <c r="AD40" s="467" t="s">
        <v>423</v>
      </c>
      <c r="AE40" s="1193" t="s">
        <v>424</v>
      </c>
      <c r="AF40" s="1193"/>
      <c r="AG40" s="468" t="s">
        <v>409</v>
      </c>
      <c r="AH40" s="468" t="s">
        <v>410</v>
      </c>
      <c r="AI40" s="468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0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0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7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0"/>
      <c r="AD43" s="472">
        <v>3</v>
      </c>
      <c r="AE43" s="473"/>
      <c r="AF43" s="502">
        <v>1750</v>
      </c>
      <c r="AG43" s="479">
        <f t="shared" ref="AG43:AG55" si="8">AF43-AF42</f>
        <v>-139.79929796000056</v>
      </c>
      <c r="AH43" s="506">
        <f>AF43/$AE$38^2</f>
        <v>47.449483178873507</v>
      </c>
      <c r="AI43" s="480">
        <f t="shared" ref="AI43:AI55" si="9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0"/>
      <c r="AD44" s="472">
        <v>4</v>
      </c>
      <c r="AE44" s="473"/>
      <c r="AF44" s="502">
        <v>1681.7886024000004</v>
      </c>
      <c r="AG44" s="479">
        <f t="shared" si="8"/>
        <v>-68.2113975999996</v>
      </c>
      <c r="AH44" s="475">
        <f t="shared" si="7"/>
        <v>45.6</v>
      </c>
      <c r="AI44" s="480">
        <f t="shared" si="9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0"/>
      <c r="AD45" s="472">
        <v>5</v>
      </c>
      <c r="AE45" s="473"/>
      <c r="AF45" s="502">
        <v>1574.8327483000005</v>
      </c>
      <c r="AG45" s="479">
        <f t="shared" si="8"/>
        <v>-106.9558540999999</v>
      </c>
      <c r="AH45" s="506">
        <f t="shared" si="7"/>
        <v>42.7</v>
      </c>
      <c r="AI45" s="480">
        <f t="shared" si="9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0"/>
      <c r="AD46" s="472">
        <v>6</v>
      </c>
      <c r="AE46" s="473"/>
      <c r="AF46" s="502">
        <v>1401.4905020000003</v>
      </c>
      <c r="AG46" s="479">
        <f t="shared" si="8"/>
        <v>-173.34224630000017</v>
      </c>
      <c r="AH46" s="506">
        <f t="shared" si="7"/>
        <v>38</v>
      </c>
      <c r="AI46" s="480">
        <f t="shared" si="9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0"/>
      <c r="AD47" s="472">
        <v>7</v>
      </c>
      <c r="AE47" s="473"/>
      <c r="AF47" s="502">
        <v>1400</v>
      </c>
      <c r="AG47" s="479">
        <f t="shared" si="8"/>
        <v>-1.4905020000003333</v>
      </c>
      <c r="AH47" s="475">
        <f t="shared" si="7"/>
        <v>37.959586543098801</v>
      </c>
      <c r="AI47" s="480">
        <f t="shared" si="9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0"/>
      <c r="AD48" s="472">
        <v>8</v>
      </c>
      <c r="AE48" s="473"/>
      <c r="AF48" s="502">
        <v>1259.8661986400004</v>
      </c>
      <c r="AG48" s="479">
        <f t="shared" si="8"/>
        <v>-140.13380135999955</v>
      </c>
      <c r="AH48" s="475">
        <f t="shared" si="7"/>
        <v>34.160000000000004</v>
      </c>
      <c r="AI48" s="480">
        <f t="shared" si="9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0"/>
      <c r="AD49" s="472">
        <v>9</v>
      </c>
      <c r="AE49" s="473"/>
      <c r="AF49" s="502">
        <v>1121.1924016000003</v>
      </c>
      <c r="AG49" s="479">
        <f t="shared" si="8"/>
        <v>-138.67379704000018</v>
      </c>
      <c r="AH49" s="475">
        <f t="shared" si="7"/>
        <v>30.400000000000002</v>
      </c>
      <c r="AI49" s="480">
        <f t="shared" si="9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0"/>
      <c r="AD50" s="472">
        <v>10</v>
      </c>
      <c r="AE50" s="473"/>
      <c r="AF50" s="502">
        <v>1009.0731614400001</v>
      </c>
      <c r="AG50" s="479">
        <f t="shared" si="8"/>
        <v>-112.11924016000012</v>
      </c>
      <c r="AH50" s="475">
        <f t="shared" si="7"/>
        <v>27.36</v>
      </c>
      <c r="AI50" s="480">
        <f t="shared" si="9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0"/>
      <c r="AD51" s="472">
        <v>11</v>
      </c>
      <c r="AE51" s="473"/>
      <c r="AF51" s="502">
        <v>911.70645288000026</v>
      </c>
      <c r="AG51" s="479">
        <f t="shared" si="8"/>
        <v>-97.366708559999893</v>
      </c>
      <c r="AH51" s="475">
        <f t="shared" si="7"/>
        <v>24.720000000000002</v>
      </c>
      <c r="AI51" s="480">
        <f t="shared" si="9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0"/>
      <c r="AD52" s="472">
        <v>12</v>
      </c>
      <c r="AE52" s="473"/>
      <c r="AF52" s="502">
        <v>840.8943012000002</v>
      </c>
      <c r="AG52" s="479">
        <f t="shared" si="8"/>
        <v>-70.812151680000056</v>
      </c>
      <c r="AH52" s="506">
        <f t="shared" si="7"/>
        <v>22.8</v>
      </c>
      <c r="AI52" s="480">
        <f t="shared" si="9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0"/>
      <c r="AD53" s="472">
        <v>13</v>
      </c>
      <c r="AE53" s="473"/>
      <c r="AF53" s="502">
        <v>759.75537740000027</v>
      </c>
      <c r="AG53" s="479">
        <f t="shared" si="8"/>
        <v>-81.13892379999993</v>
      </c>
      <c r="AH53" s="506">
        <f t="shared" si="7"/>
        <v>20.6</v>
      </c>
      <c r="AI53" s="480">
        <f t="shared" si="9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0"/>
      <c r="AD54" s="472">
        <v>14</v>
      </c>
      <c r="AE54" s="473"/>
      <c r="AF54" s="502">
        <v>672.71544096000025</v>
      </c>
      <c r="AG54" s="479">
        <f t="shared" si="8"/>
        <v>-87.03993644000002</v>
      </c>
      <c r="AH54" s="475">
        <f t="shared" si="7"/>
        <v>18.240000000000002</v>
      </c>
      <c r="AI54" s="480">
        <f t="shared" si="9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0"/>
      <c r="AD55" s="483">
        <v>15</v>
      </c>
      <c r="AE55" s="484"/>
      <c r="AF55" s="510">
        <v>607.80430192000017</v>
      </c>
      <c r="AG55" s="485">
        <f t="shared" si="8"/>
        <v>-64.91113904000008</v>
      </c>
      <c r="AH55" s="486">
        <f t="shared" si="7"/>
        <v>16.48</v>
      </c>
      <c r="AI55" s="487">
        <f t="shared" si="9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0"/>
      <c r="AG56" s="453"/>
    </row>
    <row r="57" spans="29:40" x14ac:dyDescent="0.25">
      <c r="AC57" s="1190"/>
      <c r="AD57" s="425" t="s">
        <v>426</v>
      </c>
      <c r="AE57" s="492"/>
      <c r="AF57" s="492"/>
      <c r="AG57" s="493"/>
      <c r="AH57" s="494"/>
    </row>
    <row r="58" spans="29:40" x14ac:dyDescent="0.25">
      <c r="AC58" s="1190"/>
      <c r="AD58" s="495" t="s">
        <v>419</v>
      </c>
      <c r="AE58" s="1195" t="s">
        <v>427</v>
      </c>
      <c r="AF58" s="1195"/>
      <c r="AG58" s="1195"/>
      <c r="AH58" s="1197"/>
      <c r="AN58" s="515" t="s">
        <v>241</v>
      </c>
    </row>
    <row r="59" spans="29:40" x14ac:dyDescent="0.25">
      <c r="AC59" s="1190"/>
      <c r="AD59" s="495">
        <v>1</v>
      </c>
      <c r="AE59" s="1194">
        <v>47.4</v>
      </c>
      <c r="AF59" s="1195"/>
      <c r="AG59" s="1195"/>
      <c r="AH59" s="1197"/>
      <c r="AI59" s="380" t="s">
        <v>663</v>
      </c>
    </row>
    <row r="60" spans="29:40" x14ac:dyDescent="0.25">
      <c r="AC60" s="1190"/>
      <c r="AD60" s="513">
        <v>2</v>
      </c>
      <c r="AE60" s="1208">
        <v>42.7</v>
      </c>
      <c r="AF60" s="1209"/>
      <c r="AG60" s="1209"/>
      <c r="AH60" s="1210"/>
      <c r="AI60" s="380" t="s">
        <v>435</v>
      </c>
    </row>
    <row r="61" spans="29:40" x14ac:dyDescent="0.25">
      <c r="AC61" s="1190"/>
      <c r="AD61" s="496">
        <v>3</v>
      </c>
      <c r="AE61" s="1211">
        <v>38</v>
      </c>
      <c r="AF61" s="1202"/>
      <c r="AG61" s="1202"/>
      <c r="AH61" s="1203"/>
      <c r="AI61" s="380" t="s">
        <v>437</v>
      </c>
    </row>
    <row r="62" spans="29:40" x14ac:dyDescent="0.25">
      <c r="AC62" s="1190"/>
      <c r="AD62" s="496">
        <v>4</v>
      </c>
      <c r="AE62" s="1198">
        <v>22.8</v>
      </c>
      <c r="AF62" s="1199"/>
      <c r="AG62" s="1199"/>
      <c r="AH62" s="1201"/>
      <c r="AI62" s="380" t="s">
        <v>436</v>
      </c>
    </row>
    <row r="63" spans="29:40" ht="15.75" thickBot="1" x14ac:dyDescent="0.3">
      <c r="AC63" s="1190"/>
      <c r="AD63" s="514">
        <v>5</v>
      </c>
      <c r="AE63" s="1212">
        <v>20.6</v>
      </c>
      <c r="AF63" s="1213"/>
      <c r="AG63" s="1213"/>
      <c r="AH63" s="1214"/>
      <c r="AI63" s="380" t="s">
        <v>438</v>
      </c>
    </row>
    <row r="65" spans="30:30" x14ac:dyDescent="0.25">
      <c r="AD65" s="84"/>
    </row>
  </sheetData>
  <mergeCells count="23">
    <mergeCell ref="AI20:AL20"/>
    <mergeCell ref="AE21:AH21"/>
    <mergeCell ref="AI21:AL21"/>
    <mergeCell ref="AI17:AL17"/>
    <mergeCell ref="AE18:AH18"/>
    <mergeCell ref="AI18:AL18"/>
    <mergeCell ref="AE19:AH19"/>
    <mergeCell ref="AI19:AL19"/>
    <mergeCell ref="C8:H8"/>
    <mergeCell ref="C25:H25"/>
    <mergeCell ref="AC3:AC21"/>
    <mergeCell ref="AE40:AF40"/>
    <mergeCell ref="AE63:AH63"/>
    <mergeCell ref="AC35:AC63"/>
    <mergeCell ref="AE58:AH58"/>
    <mergeCell ref="AE59:AH59"/>
    <mergeCell ref="AE60:AH60"/>
    <mergeCell ref="AE61:AH61"/>
    <mergeCell ref="AE62:AH62"/>
    <mergeCell ref="AE20:AH20"/>
    <mergeCell ref="J27:J28"/>
    <mergeCell ref="AE9:AF9"/>
    <mergeCell ref="AE17:AH17"/>
  </mergeCells>
  <conditionalFormatting sqref="C9:H23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954B-1C96-47DF-AA12-CB9F1CEC3C69}">
  <sheetPr codeName="Sheet16">
    <pageSetUpPr fitToPage="1"/>
  </sheetPr>
  <dimension ref="B1:X36"/>
  <sheetViews>
    <sheetView showGridLines="0" zoomScaleNormal="100" workbookViewId="0">
      <selection activeCell="H29" sqref="H29"/>
    </sheetView>
  </sheetViews>
  <sheetFormatPr defaultColWidth="9.140625" defaultRowHeight="15" x14ac:dyDescent="0.25"/>
  <cols>
    <col min="1" max="1" width="3.7109375" customWidth="1"/>
    <col min="2" max="2" width="15.7109375" customWidth="1"/>
    <col min="3" max="3" width="11.140625" bestFit="1" customWidth="1"/>
    <col min="5" max="5" width="14.7109375" bestFit="1" customWidth="1"/>
    <col min="8" max="8" width="11" bestFit="1" customWidth="1"/>
    <col min="9" max="9" width="13.28515625" bestFit="1" customWidth="1"/>
    <col min="10" max="10" width="17.28515625" bestFit="1" customWidth="1"/>
    <col min="11" max="11" width="11.7109375" customWidth="1"/>
    <col min="12" max="12" width="15.140625" customWidth="1"/>
    <col min="14" max="14" width="36" customWidth="1"/>
    <col min="22" max="22" width="20.7109375" bestFit="1" customWidth="1"/>
  </cols>
  <sheetData>
    <row r="1" spans="2:24" ht="15.75" thickBot="1" x14ac:dyDescent="0.3"/>
    <row r="2" spans="2:24" x14ac:dyDescent="0.25">
      <c r="B2" s="267" t="s">
        <v>186</v>
      </c>
      <c r="C2" s="268" t="s">
        <v>187</v>
      </c>
      <c r="D2" s="268" t="s">
        <v>188</v>
      </c>
      <c r="E2" s="268" t="s">
        <v>189</v>
      </c>
      <c r="F2" s="268" t="s">
        <v>190</v>
      </c>
      <c r="G2" s="268" t="s">
        <v>191</v>
      </c>
      <c r="H2" s="268" t="s">
        <v>192</v>
      </c>
      <c r="I2" s="268" t="s">
        <v>193</v>
      </c>
      <c r="J2" s="310" t="s">
        <v>194</v>
      </c>
      <c r="K2" s="310" t="s">
        <v>195</v>
      </c>
      <c r="L2" s="269" t="s">
        <v>196</v>
      </c>
      <c r="M2" s="84"/>
      <c r="N2" s="270" t="s">
        <v>197</v>
      </c>
      <c r="O2" s="271">
        <v>1115</v>
      </c>
      <c r="P2" s="70" t="s">
        <v>198</v>
      </c>
      <c r="Q2" s="317" t="s">
        <v>199</v>
      </c>
      <c r="R2" s="318"/>
      <c r="S2" s="318"/>
      <c r="T2" s="318"/>
      <c r="V2" s="774" t="s">
        <v>577</v>
      </c>
    </row>
    <row r="3" spans="2:24" x14ac:dyDescent="0.25">
      <c r="B3" s="272" t="s">
        <v>26</v>
      </c>
      <c r="C3" s="308">
        <v>127</v>
      </c>
      <c r="D3" s="273">
        <v>123</v>
      </c>
      <c r="E3" s="273" t="s">
        <v>200</v>
      </c>
      <c r="F3" s="273">
        <v>1</v>
      </c>
      <c r="G3" s="274">
        <v>0.8</v>
      </c>
      <c r="H3" s="275">
        <f t="shared" ref="H3:H17" si="0">D3*G3^2</f>
        <v>78.720000000000013</v>
      </c>
      <c r="I3" s="276">
        <f>($O$7/G3/2)/D3</f>
        <v>20.524733231707319</v>
      </c>
      <c r="J3" s="311">
        <f>$O$10-(C3-I3)</f>
        <v>21.500733231707315</v>
      </c>
      <c r="K3" s="311">
        <v>5</v>
      </c>
      <c r="L3" s="277">
        <f>J3-K3</f>
        <v>16.500733231707315</v>
      </c>
      <c r="M3" s="78"/>
      <c r="N3" s="262" t="s">
        <v>201</v>
      </c>
      <c r="O3" s="252">
        <v>0.45</v>
      </c>
      <c r="P3" s="87" t="s">
        <v>184</v>
      </c>
      <c r="Q3" s="78"/>
      <c r="V3" t="s">
        <v>197</v>
      </c>
      <c r="W3">
        <v>1115</v>
      </c>
      <c r="X3" t="s">
        <v>198</v>
      </c>
    </row>
    <row r="4" spans="2:24" x14ac:dyDescent="0.25">
      <c r="B4" s="272" t="s">
        <v>26</v>
      </c>
      <c r="C4" s="308">
        <v>127</v>
      </c>
      <c r="D4" s="273">
        <v>131</v>
      </c>
      <c r="E4" s="273" t="s">
        <v>202</v>
      </c>
      <c r="F4" s="273">
        <v>1</v>
      </c>
      <c r="G4" s="274">
        <v>0.8</v>
      </c>
      <c r="H4" s="275">
        <f t="shared" si="0"/>
        <v>83.840000000000018</v>
      </c>
      <c r="I4" s="276">
        <f t="shared" ref="I4:I17" si="1">($O$7/G4/2)/D4</f>
        <v>19.271314408396947</v>
      </c>
      <c r="J4" s="311">
        <f t="shared" ref="J4:J17" si="2">$O$10-(C4-I4)</f>
        <v>20.247314408396946</v>
      </c>
      <c r="K4" s="311">
        <v>5</v>
      </c>
      <c r="L4" s="277">
        <f t="shared" ref="L4:L17" si="3">J4-K4</f>
        <v>15.247314408396946</v>
      </c>
      <c r="M4" s="78"/>
      <c r="N4" s="262" t="s">
        <v>203</v>
      </c>
      <c r="O4" s="252">
        <v>45</v>
      </c>
      <c r="P4" s="87" t="s">
        <v>198</v>
      </c>
      <c r="Q4" s="78"/>
      <c r="V4" t="s">
        <v>201</v>
      </c>
      <c r="W4">
        <v>0.45500000000000002</v>
      </c>
      <c r="X4" t="s">
        <v>184</v>
      </c>
    </row>
    <row r="5" spans="2:24" x14ac:dyDescent="0.25">
      <c r="B5" s="272" t="s">
        <v>26</v>
      </c>
      <c r="C5" s="308">
        <v>127</v>
      </c>
      <c r="D5" s="273">
        <v>140</v>
      </c>
      <c r="E5" s="273" t="s">
        <v>204</v>
      </c>
      <c r="F5" s="273">
        <v>1</v>
      </c>
      <c r="G5" s="274">
        <v>0.8</v>
      </c>
      <c r="H5" s="275">
        <f t="shared" si="0"/>
        <v>89.600000000000023</v>
      </c>
      <c r="I5" s="276">
        <f t="shared" si="1"/>
        <v>18.032444196428571</v>
      </c>
      <c r="J5" s="311">
        <f t="shared" si="2"/>
        <v>19.00844419642857</v>
      </c>
      <c r="K5" s="311">
        <v>5</v>
      </c>
      <c r="L5" s="277">
        <f t="shared" si="3"/>
        <v>14.00844419642857</v>
      </c>
      <c r="M5" s="78"/>
      <c r="N5" s="262" t="s">
        <v>205</v>
      </c>
      <c r="O5" s="252">
        <v>50</v>
      </c>
      <c r="P5" s="87" t="s">
        <v>198</v>
      </c>
      <c r="Q5" s="78"/>
      <c r="V5" t="s">
        <v>203</v>
      </c>
      <c r="W5">
        <v>45</v>
      </c>
      <c r="X5" t="s">
        <v>198</v>
      </c>
    </row>
    <row r="6" spans="2:24" x14ac:dyDescent="0.25">
      <c r="B6" s="290" t="s">
        <v>26</v>
      </c>
      <c r="C6" s="308">
        <v>127</v>
      </c>
      <c r="D6" s="291">
        <v>149</v>
      </c>
      <c r="E6" s="291" t="s">
        <v>206</v>
      </c>
      <c r="F6" s="291">
        <v>1</v>
      </c>
      <c r="G6" s="292">
        <v>0.8</v>
      </c>
      <c r="H6" s="293">
        <f t="shared" si="0"/>
        <v>95.360000000000014</v>
      </c>
      <c r="I6" s="294">
        <f t="shared" si="1"/>
        <v>16.943236157718122</v>
      </c>
      <c r="J6" s="312">
        <f t="shared" si="2"/>
        <v>17.919236157718117</v>
      </c>
      <c r="K6" s="312">
        <v>5</v>
      </c>
      <c r="L6" s="295">
        <f t="shared" si="3"/>
        <v>12.919236157718117</v>
      </c>
      <c r="M6" s="78"/>
      <c r="N6" s="99"/>
      <c r="O6" s="78"/>
      <c r="P6" s="87"/>
      <c r="Q6" s="78"/>
      <c r="V6" t="s">
        <v>205</v>
      </c>
      <c r="W6">
        <v>50</v>
      </c>
      <c r="X6" t="s">
        <v>198</v>
      </c>
    </row>
    <row r="7" spans="2:24" x14ac:dyDescent="0.25">
      <c r="B7" s="296"/>
      <c r="C7" s="308">
        <v>120</v>
      </c>
      <c r="D7" s="291">
        <v>160</v>
      </c>
      <c r="E7" s="297" t="s">
        <v>207</v>
      </c>
      <c r="F7" s="297"/>
      <c r="G7" s="298">
        <v>0.8</v>
      </c>
      <c r="H7" s="299">
        <f>D7*G7^2</f>
        <v>102.40000000000002</v>
      </c>
      <c r="I7" s="300">
        <f t="shared" si="1"/>
        <v>15.778388671875001</v>
      </c>
      <c r="J7" s="313">
        <f t="shared" si="2"/>
        <v>23.754388671875006</v>
      </c>
      <c r="K7" s="313"/>
      <c r="L7" s="301"/>
      <c r="M7" s="78"/>
      <c r="N7" s="262" t="s">
        <v>208</v>
      </c>
      <c r="O7" s="278">
        <f>(O2*O3-2*O4)*9.81</f>
        <v>4039.2675000000004</v>
      </c>
      <c r="P7" s="87" t="s">
        <v>182</v>
      </c>
      <c r="Q7" s="78"/>
    </row>
    <row r="8" spans="2:24" x14ac:dyDescent="0.25">
      <c r="B8" s="296"/>
      <c r="C8" s="308">
        <v>127</v>
      </c>
      <c r="D8" s="291">
        <v>157</v>
      </c>
      <c r="E8" s="303" t="s">
        <v>780</v>
      </c>
      <c r="F8" s="303">
        <v>1</v>
      </c>
      <c r="G8" s="304">
        <v>0.8</v>
      </c>
      <c r="H8" s="305">
        <f t="shared" ref="H8" si="4">D8*G8^2</f>
        <v>100.48000000000002</v>
      </c>
      <c r="I8" s="306">
        <f t="shared" ref="I8" si="5">($O$7/G8/2)/D8</f>
        <v>16.079886544585989</v>
      </c>
      <c r="J8" s="314">
        <f t="shared" ref="J8" si="6">$O$10-(C8-I8)</f>
        <v>17.055886544585988</v>
      </c>
      <c r="K8" s="314">
        <v>4</v>
      </c>
      <c r="L8" s="307">
        <f t="shared" ref="L8" si="7">J8-K8</f>
        <v>13.055886544585988</v>
      </c>
      <c r="M8" s="78"/>
      <c r="N8" s="262" t="s">
        <v>210</v>
      </c>
      <c r="O8" s="278">
        <f>(O2*(1-O3)-2*O5)*9.81</f>
        <v>5034.9825000000001</v>
      </c>
      <c r="P8" s="87" t="s">
        <v>182</v>
      </c>
      <c r="Q8" s="78"/>
    </row>
    <row r="9" spans="2:24" x14ac:dyDescent="0.25">
      <c r="B9" s="302" t="s">
        <v>26</v>
      </c>
      <c r="C9" s="592">
        <v>127</v>
      </c>
      <c r="D9" s="303">
        <v>166</v>
      </c>
      <c r="E9" s="303" t="s">
        <v>209</v>
      </c>
      <c r="F9" s="303">
        <v>1</v>
      </c>
      <c r="G9" s="304">
        <v>0.8</v>
      </c>
      <c r="H9" s="305">
        <f t="shared" si="0"/>
        <v>106.24000000000002</v>
      </c>
      <c r="I9" s="306">
        <f t="shared" si="1"/>
        <v>15.208085466867471</v>
      </c>
      <c r="J9" s="314">
        <f t="shared" si="2"/>
        <v>16.184085466867472</v>
      </c>
      <c r="K9" s="314">
        <v>5</v>
      </c>
      <c r="L9" s="307">
        <f t="shared" si="3"/>
        <v>11.184085466867472</v>
      </c>
      <c r="M9" s="490">
        <f>J9-J8</f>
        <v>-0.87180107771851567</v>
      </c>
      <c r="N9" s="99"/>
      <c r="O9" s="78"/>
      <c r="P9" s="87"/>
      <c r="Q9" s="78"/>
    </row>
    <row r="10" spans="2:24" x14ac:dyDescent="0.25">
      <c r="B10" s="290" t="s">
        <v>26</v>
      </c>
      <c r="C10" s="593">
        <v>127</v>
      </c>
      <c r="D10" s="291">
        <v>175</v>
      </c>
      <c r="E10" s="291" t="s">
        <v>211</v>
      </c>
      <c r="F10" s="291">
        <v>1</v>
      </c>
      <c r="G10" s="292">
        <v>0.8</v>
      </c>
      <c r="H10" s="293">
        <f t="shared" si="0"/>
        <v>112.00000000000003</v>
      </c>
      <c r="I10" s="294">
        <f t="shared" si="1"/>
        <v>14.425955357142858</v>
      </c>
      <c r="J10" s="312">
        <f t="shared" si="2"/>
        <v>15.401955357142853</v>
      </c>
      <c r="K10" s="312">
        <v>5</v>
      </c>
      <c r="L10" s="295">
        <f t="shared" si="3"/>
        <v>10.401955357142853</v>
      </c>
      <c r="M10" s="78"/>
      <c r="N10" s="262" t="s">
        <v>213</v>
      </c>
      <c r="O10" s="252">
        <v>127.976</v>
      </c>
      <c r="P10" s="87" t="s">
        <v>67</v>
      </c>
      <c r="Q10" s="319" t="s">
        <v>214</v>
      </c>
      <c r="R10" s="318"/>
      <c r="S10" s="318"/>
      <c r="T10" s="318"/>
      <c r="U10" s="318"/>
      <c r="V10" s="318"/>
    </row>
    <row r="11" spans="2:24" ht="15.75" thickBot="1" x14ac:dyDescent="0.3">
      <c r="B11" s="296" t="s">
        <v>26</v>
      </c>
      <c r="C11" s="309">
        <v>127</v>
      </c>
      <c r="D11" s="297">
        <v>184</v>
      </c>
      <c r="E11" s="297" t="s">
        <v>212</v>
      </c>
      <c r="F11" s="297">
        <v>1</v>
      </c>
      <c r="G11" s="298">
        <v>0.8</v>
      </c>
      <c r="H11" s="299">
        <f t="shared" si="0"/>
        <v>117.76000000000002</v>
      </c>
      <c r="I11" s="300">
        <f t="shared" si="1"/>
        <v>13.72033797554348</v>
      </c>
      <c r="J11" s="313">
        <f t="shared" si="2"/>
        <v>14.696337975543486</v>
      </c>
      <c r="K11" s="313">
        <v>5</v>
      </c>
      <c r="L11" s="301">
        <f t="shared" si="3"/>
        <v>9.6963379755434858</v>
      </c>
      <c r="M11" s="78"/>
      <c r="N11" s="141" t="s">
        <v>213</v>
      </c>
      <c r="O11" s="279">
        <v>146.863</v>
      </c>
      <c r="P11" s="142" t="s">
        <v>67</v>
      </c>
      <c r="Q11" s="319" t="s">
        <v>216</v>
      </c>
      <c r="R11" s="318"/>
      <c r="S11" s="318"/>
      <c r="T11" s="318"/>
      <c r="U11" s="318"/>
      <c r="V11" s="318"/>
      <c r="W11" s="318"/>
      <c r="X11" s="318"/>
    </row>
    <row r="12" spans="2:24" x14ac:dyDescent="0.25">
      <c r="B12" s="296"/>
      <c r="C12" s="309">
        <v>120</v>
      </c>
      <c r="D12" s="297">
        <v>180</v>
      </c>
      <c r="E12" s="297" t="s">
        <v>215</v>
      </c>
      <c r="F12" s="297"/>
      <c r="G12" s="298">
        <v>0.8</v>
      </c>
      <c r="H12" s="299">
        <f t="shared" si="0"/>
        <v>115.20000000000002</v>
      </c>
      <c r="I12" s="300">
        <f t="shared" si="1"/>
        <v>14.025234375</v>
      </c>
      <c r="J12" s="313">
        <f t="shared" si="2"/>
        <v>22.001234374999996</v>
      </c>
      <c r="K12" s="313"/>
      <c r="L12" s="301"/>
      <c r="M12" s="491"/>
      <c r="N12" s="78"/>
      <c r="O12" s="78"/>
      <c r="P12" s="78"/>
      <c r="Q12" s="78"/>
    </row>
    <row r="13" spans="2:24" x14ac:dyDescent="0.25">
      <c r="B13" s="690" t="s">
        <v>26</v>
      </c>
      <c r="C13" s="733">
        <v>127</v>
      </c>
      <c r="D13" s="692">
        <v>193</v>
      </c>
      <c r="E13" s="692" t="s">
        <v>217</v>
      </c>
      <c r="F13" s="692">
        <v>1</v>
      </c>
      <c r="G13" s="693">
        <v>0.8</v>
      </c>
      <c r="H13" s="694">
        <f t="shared" si="0"/>
        <v>123.52000000000002</v>
      </c>
      <c r="I13" s="695">
        <f>($O$7/G13/2)/D13</f>
        <v>13.080529468911918</v>
      </c>
      <c r="J13" s="696">
        <f>$O$10-(C13-I13)</f>
        <v>14.056529468911918</v>
      </c>
      <c r="K13" s="696">
        <v>5</v>
      </c>
      <c r="L13" s="697">
        <f t="shared" si="3"/>
        <v>9.0565294689119185</v>
      </c>
      <c r="M13" s="78"/>
      <c r="N13" s="280" t="s">
        <v>219</v>
      </c>
      <c r="O13" s="78"/>
      <c r="P13" s="78"/>
      <c r="Q13" s="78"/>
    </row>
    <row r="14" spans="2:24" x14ac:dyDescent="0.25">
      <c r="B14" s="272" t="s">
        <v>26</v>
      </c>
      <c r="C14" s="308">
        <v>127</v>
      </c>
      <c r="D14" s="273">
        <v>210</v>
      </c>
      <c r="E14" s="273" t="s">
        <v>218</v>
      </c>
      <c r="F14" s="273">
        <v>2</v>
      </c>
      <c r="G14" s="274">
        <v>0.8</v>
      </c>
      <c r="H14" s="275">
        <f t="shared" si="0"/>
        <v>134.40000000000003</v>
      </c>
      <c r="I14" s="276">
        <f t="shared" si="1"/>
        <v>12.021629464285715</v>
      </c>
      <c r="J14" s="311">
        <f t="shared" si="2"/>
        <v>12.997629464285708</v>
      </c>
      <c r="K14" s="311">
        <v>5</v>
      </c>
      <c r="L14" s="277">
        <f t="shared" si="3"/>
        <v>7.9976294642857084</v>
      </c>
      <c r="M14" s="78"/>
      <c r="N14" s="280" t="s">
        <v>221</v>
      </c>
      <c r="O14" s="78"/>
      <c r="P14" s="78"/>
      <c r="Q14" s="78"/>
    </row>
    <row r="15" spans="2:24" ht="15.75" thickBot="1" x14ac:dyDescent="0.3">
      <c r="B15" s="272" t="s">
        <v>26</v>
      </c>
      <c r="C15" s="308">
        <v>127</v>
      </c>
      <c r="D15" s="273">
        <v>245</v>
      </c>
      <c r="E15" s="273" t="s">
        <v>220</v>
      </c>
      <c r="F15" s="273">
        <v>2</v>
      </c>
      <c r="G15" s="274">
        <v>0.8</v>
      </c>
      <c r="H15" s="275">
        <f t="shared" si="0"/>
        <v>156.80000000000004</v>
      </c>
      <c r="I15" s="276">
        <f t="shared" si="1"/>
        <v>10.304253826530614</v>
      </c>
      <c r="J15" s="311">
        <f t="shared" si="2"/>
        <v>11.280253826530611</v>
      </c>
      <c r="K15" s="311">
        <v>5</v>
      </c>
      <c r="L15" s="277">
        <f t="shared" si="3"/>
        <v>6.2802538265306111</v>
      </c>
      <c r="M15" s="78"/>
      <c r="N15" s="78"/>
      <c r="O15" s="78"/>
      <c r="P15" s="78"/>
      <c r="Q15" s="78"/>
    </row>
    <row r="16" spans="2:24" x14ac:dyDescent="0.25">
      <c r="B16" s="272" t="s">
        <v>26</v>
      </c>
      <c r="C16" s="308">
        <v>127</v>
      </c>
      <c r="D16" s="273">
        <v>306</v>
      </c>
      <c r="E16" s="273" t="s">
        <v>222</v>
      </c>
      <c r="F16" s="273">
        <v>2</v>
      </c>
      <c r="G16" s="274">
        <v>0.8</v>
      </c>
      <c r="H16" s="275">
        <f t="shared" si="0"/>
        <v>195.84000000000003</v>
      </c>
      <c r="I16" s="276">
        <f t="shared" si="1"/>
        <v>8.2501378676470587</v>
      </c>
      <c r="J16" s="311">
        <f t="shared" si="2"/>
        <v>9.2261378676470542</v>
      </c>
      <c r="K16" s="311">
        <v>5</v>
      </c>
      <c r="L16" s="277">
        <f t="shared" si="3"/>
        <v>4.2261378676470542</v>
      </c>
      <c r="M16" s="78"/>
      <c r="N16" s="86" t="s">
        <v>224</v>
      </c>
      <c r="O16" s="69"/>
      <c r="P16" s="70"/>
      <c r="Q16" s="78"/>
    </row>
    <row r="17" spans="2:17" x14ac:dyDescent="0.25">
      <c r="B17" s="272" t="s">
        <v>26</v>
      </c>
      <c r="C17" s="308">
        <v>127</v>
      </c>
      <c r="D17" s="273">
        <v>350</v>
      </c>
      <c r="E17" s="273" t="s">
        <v>223</v>
      </c>
      <c r="F17" s="273">
        <v>2</v>
      </c>
      <c r="G17" s="274">
        <v>0.8</v>
      </c>
      <c r="H17" s="275">
        <f t="shared" si="0"/>
        <v>224.00000000000006</v>
      </c>
      <c r="I17" s="276">
        <f t="shared" si="1"/>
        <v>7.2129776785714288</v>
      </c>
      <c r="J17" s="311">
        <f t="shared" si="2"/>
        <v>8.1889776785714332</v>
      </c>
      <c r="K17" s="311">
        <v>3</v>
      </c>
      <c r="L17" s="277">
        <f t="shared" si="3"/>
        <v>5.1889776785714332</v>
      </c>
      <c r="M17" s="78"/>
      <c r="N17" s="99" t="s">
        <v>225</v>
      </c>
      <c r="O17" s="78"/>
      <c r="P17" s="87"/>
      <c r="Q17" s="78"/>
    </row>
    <row r="18" spans="2:17" x14ac:dyDescent="0.25">
      <c r="B18" s="272"/>
      <c r="C18" s="273"/>
      <c r="D18" s="273"/>
      <c r="E18" s="273"/>
      <c r="F18" s="273"/>
      <c r="G18" s="274"/>
      <c r="H18" s="274"/>
      <c r="I18" s="274"/>
      <c r="J18" s="315"/>
      <c r="K18" s="315"/>
      <c r="L18" s="281"/>
      <c r="M18" s="78"/>
      <c r="N18" s="99"/>
      <c r="O18" s="78"/>
      <c r="P18" s="87"/>
      <c r="Q18" s="78"/>
    </row>
    <row r="19" spans="2:17" x14ac:dyDescent="0.25">
      <c r="B19" s="272" t="s">
        <v>27</v>
      </c>
      <c r="C19" s="282">
        <v>152</v>
      </c>
      <c r="D19" s="273">
        <v>114</v>
      </c>
      <c r="E19" s="273" t="s">
        <v>226</v>
      </c>
      <c r="F19" s="273">
        <v>1</v>
      </c>
      <c r="G19" s="274">
        <v>0.8</v>
      </c>
      <c r="H19" s="275">
        <f>D19*G19^2</f>
        <v>72.960000000000008</v>
      </c>
      <c r="I19" s="276">
        <f>($O$8/G19/2)/D19</f>
        <v>27.60407072368421</v>
      </c>
      <c r="J19" s="311">
        <f>$O$11-(C19-I19)</f>
        <v>22.467070723684202</v>
      </c>
      <c r="K19" s="311">
        <v>5</v>
      </c>
      <c r="L19" s="277">
        <f>J19-K19</f>
        <v>17.467070723684202</v>
      </c>
      <c r="M19" s="78"/>
      <c r="N19" s="99"/>
      <c r="O19" s="78"/>
      <c r="P19" s="87"/>
      <c r="Q19" s="78"/>
    </row>
    <row r="20" spans="2:17" ht="15.75" thickBot="1" x14ac:dyDescent="0.3">
      <c r="B20" s="302" t="s">
        <v>27</v>
      </c>
      <c r="C20" s="282">
        <v>152</v>
      </c>
      <c r="D20" s="303">
        <v>123</v>
      </c>
      <c r="E20" s="303" t="s">
        <v>227</v>
      </c>
      <c r="F20" s="273">
        <v>1</v>
      </c>
      <c r="G20" s="304">
        <v>0.8</v>
      </c>
      <c r="H20" s="305">
        <f t="shared" ref="H20:H32" si="8">D20*G20^2</f>
        <v>78.720000000000013</v>
      </c>
      <c r="I20" s="306">
        <f t="shared" ref="I20:I32" si="9">($O$8/G20/2)/D20</f>
        <v>25.584260670731705</v>
      </c>
      <c r="J20" s="314">
        <f t="shared" ref="J20:J32" si="10">$O$11-(C20-I20)</f>
        <v>20.447260670731708</v>
      </c>
      <c r="K20" s="314">
        <v>5</v>
      </c>
      <c r="L20" s="307">
        <f t="shared" ref="L20:L32" si="11">J20-K20</f>
        <v>15.447260670731708</v>
      </c>
      <c r="M20" s="78"/>
      <c r="N20" s="100"/>
      <c r="O20" s="88"/>
      <c r="P20" s="142"/>
      <c r="Q20" s="78"/>
    </row>
    <row r="21" spans="2:17" x14ac:dyDescent="0.25">
      <c r="B21" s="272" t="s">
        <v>27</v>
      </c>
      <c r="C21" s="282">
        <v>152</v>
      </c>
      <c r="D21" s="273">
        <v>131</v>
      </c>
      <c r="E21" s="273" t="s">
        <v>228</v>
      </c>
      <c r="F21" s="273">
        <v>1</v>
      </c>
      <c r="G21" s="274">
        <v>0.8</v>
      </c>
      <c r="H21" s="275">
        <f t="shared" si="8"/>
        <v>83.840000000000018</v>
      </c>
      <c r="I21" s="276">
        <f t="shared" si="9"/>
        <v>24.021863072519082</v>
      </c>
      <c r="J21" s="311">
        <f t="shared" si="10"/>
        <v>18.884863072519082</v>
      </c>
      <c r="K21" s="311">
        <v>5</v>
      </c>
      <c r="L21" s="277">
        <f t="shared" si="11"/>
        <v>13.884863072519082</v>
      </c>
      <c r="M21" s="78"/>
      <c r="N21" s="78"/>
      <c r="O21" s="78"/>
      <c r="P21" s="78"/>
      <c r="Q21" s="78"/>
    </row>
    <row r="22" spans="2:17" x14ac:dyDescent="0.25">
      <c r="B22" s="290" t="s">
        <v>27</v>
      </c>
      <c r="C22" s="282">
        <v>152</v>
      </c>
      <c r="D22" s="291">
        <v>140</v>
      </c>
      <c r="E22" s="291" t="s">
        <v>229</v>
      </c>
      <c r="F22" s="291">
        <v>1</v>
      </c>
      <c r="G22" s="292">
        <v>0.8</v>
      </c>
      <c r="H22" s="293">
        <f t="shared" si="8"/>
        <v>89.600000000000023</v>
      </c>
      <c r="I22" s="294">
        <f t="shared" si="9"/>
        <v>22.477600446428571</v>
      </c>
      <c r="J22" s="312">
        <f t="shared" si="10"/>
        <v>17.340600446428567</v>
      </c>
      <c r="K22" s="312">
        <v>5</v>
      </c>
      <c r="L22" s="295">
        <f t="shared" si="11"/>
        <v>12.340600446428567</v>
      </c>
      <c r="M22" s="78"/>
      <c r="N22" s="78"/>
      <c r="O22" s="78"/>
      <c r="P22" s="78"/>
      <c r="Q22" s="78"/>
    </row>
    <row r="23" spans="2:17" x14ac:dyDescent="0.25">
      <c r="B23" s="272" t="s">
        <v>27</v>
      </c>
      <c r="C23" s="282">
        <v>152</v>
      </c>
      <c r="D23" s="273">
        <v>149</v>
      </c>
      <c r="E23" s="273" t="s">
        <v>230</v>
      </c>
      <c r="F23" s="273">
        <v>1</v>
      </c>
      <c r="G23" s="274">
        <v>0.8</v>
      </c>
      <c r="H23" s="275">
        <f t="shared" si="8"/>
        <v>95.360000000000014</v>
      </c>
      <c r="I23" s="276">
        <f t="shared" si="9"/>
        <v>21.11989303691275</v>
      </c>
      <c r="J23" s="311">
        <f t="shared" si="10"/>
        <v>15.982893036912742</v>
      </c>
      <c r="K23" s="311">
        <v>5</v>
      </c>
      <c r="L23" s="277">
        <f t="shared" si="11"/>
        <v>10.982893036912742</v>
      </c>
      <c r="M23" s="78"/>
      <c r="N23" s="78"/>
      <c r="O23" s="78"/>
      <c r="P23" s="78"/>
      <c r="Q23" s="78"/>
    </row>
    <row r="24" spans="2:17" x14ac:dyDescent="0.25">
      <c r="B24" s="272" t="s">
        <v>27</v>
      </c>
      <c r="C24" s="282">
        <v>152</v>
      </c>
      <c r="D24" s="273">
        <v>158</v>
      </c>
      <c r="E24" s="273" t="s">
        <v>231</v>
      </c>
      <c r="F24" s="273">
        <v>1</v>
      </c>
      <c r="G24" s="274">
        <v>0.8</v>
      </c>
      <c r="H24" s="275">
        <f t="shared" si="8"/>
        <v>101.12000000000002</v>
      </c>
      <c r="I24" s="276">
        <f t="shared" si="9"/>
        <v>19.916861155063291</v>
      </c>
      <c r="J24" s="311">
        <f t="shared" si="10"/>
        <v>14.779861155063287</v>
      </c>
      <c r="K24" s="311">
        <v>5</v>
      </c>
      <c r="L24" s="277">
        <f t="shared" si="11"/>
        <v>9.779861155063287</v>
      </c>
      <c r="M24" s="78"/>
      <c r="N24" s="78"/>
      <c r="O24" s="78"/>
      <c r="P24" s="78"/>
      <c r="Q24" s="78"/>
    </row>
    <row r="25" spans="2:17" x14ac:dyDescent="0.25">
      <c r="B25" s="272" t="s">
        <v>27</v>
      </c>
      <c r="C25" s="282">
        <v>152</v>
      </c>
      <c r="D25" s="273">
        <v>166</v>
      </c>
      <c r="E25" s="273" t="s">
        <v>232</v>
      </c>
      <c r="F25" s="273">
        <v>1</v>
      </c>
      <c r="G25" s="274">
        <v>0.8</v>
      </c>
      <c r="H25" s="275">
        <f t="shared" si="8"/>
        <v>106.24000000000002</v>
      </c>
      <c r="I25" s="276">
        <f t="shared" si="9"/>
        <v>18.957012424698792</v>
      </c>
      <c r="J25" s="311">
        <f t="shared" si="10"/>
        <v>13.820012424698803</v>
      </c>
      <c r="K25" s="311">
        <v>5</v>
      </c>
      <c r="L25" s="277">
        <f t="shared" si="11"/>
        <v>8.8200124246988025</v>
      </c>
      <c r="M25" s="78"/>
      <c r="N25" s="78"/>
      <c r="O25" s="78"/>
      <c r="P25" s="78"/>
      <c r="Q25" s="78"/>
    </row>
    <row r="26" spans="2:17" x14ac:dyDescent="0.25">
      <c r="B26" s="272" t="s">
        <v>27</v>
      </c>
      <c r="C26" s="282">
        <v>152</v>
      </c>
      <c r="D26" s="273">
        <v>175</v>
      </c>
      <c r="E26" s="273" t="s">
        <v>233</v>
      </c>
      <c r="F26" s="273">
        <v>1</v>
      </c>
      <c r="G26" s="274">
        <v>0.8</v>
      </c>
      <c r="H26" s="275">
        <f t="shared" si="8"/>
        <v>112.00000000000003</v>
      </c>
      <c r="I26" s="276">
        <f t="shared" si="9"/>
        <v>17.982080357142856</v>
      </c>
      <c r="J26" s="311">
        <f t="shared" si="10"/>
        <v>12.845080357142848</v>
      </c>
      <c r="K26" s="311">
        <v>5</v>
      </c>
      <c r="L26" s="277">
        <f t="shared" si="11"/>
        <v>7.845080357142848</v>
      </c>
      <c r="M26" s="490">
        <f>J27-J25</f>
        <v>-2.6520172822117729</v>
      </c>
      <c r="N26" s="78"/>
      <c r="O26" s="78"/>
      <c r="P26" s="78"/>
      <c r="Q26" s="78"/>
    </row>
    <row r="27" spans="2:17" x14ac:dyDescent="0.25">
      <c r="B27" s="690" t="s">
        <v>27</v>
      </c>
      <c r="C27" s="691">
        <v>152</v>
      </c>
      <c r="D27" s="692">
        <v>193</v>
      </c>
      <c r="E27" s="692" t="s">
        <v>234</v>
      </c>
      <c r="F27" s="692">
        <v>1</v>
      </c>
      <c r="G27" s="693">
        <v>0.8</v>
      </c>
      <c r="H27" s="694">
        <f t="shared" si="8"/>
        <v>123.52000000000002</v>
      </c>
      <c r="I27" s="695">
        <f t="shared" si="9"/>
        <v>16.304995142487044</v>
      </c>
      <c r="J27" s="696">
        <f t="shared" si="10"/>
        <v>11.16799514248703</v>
      </c>
      <c r="K27" s="696">
        <v>5</v>
      </c>
      <c r="L27" s="697">
        <f t="shared" si="11"/>
        <v>6.1679951424870296</v>
      </c>
      <c r="M27" s="78"/>
      <c r="N27" s="78"/>
      <c r="O27" s="78"/>
      <c r="P27" s="78"/>
      <c r="Q27" s="78"/>
    </row>
    <row r="28" spans="2:17" x14ac:dyDescent="0.25">
      <c r="B28" s="272" t="s">
        <v>27</v>
      </c>
      <c r="C28" s="282">
        <v>152</v>
      </c>
      <c r="D28" s="273">
        <v>210</v>
      </c>
      <c r="E28" s="273" t="s">
        <v>235</v>
      </c>
      <c r="F28" s="273">
        <v>2</v>
      </c>
      <c r="G28" s="274">
        <v>0.8</v>
      </c>
      <c r="H28" s="275">
        <f t="shared" si="8"/>
        <v>134.40000000000003</v>
      </c>
      <c r="I28" s="276">
        <f t="shared" si="9"/>
        <v>14.985066964285714</v>
      </c>
      <c r="J28" s="311">
        <f t="shared" si="10"/>
        <v>9.8480669642857208</v>
      </c>
      <c r="K28" s="311">
        <v>5</v>
      </c>
      <c r="L28" s="277">
        <f t="shared" si="11"/>
        <v>4.8480669642857208</v>
      </c>
      <c r="M28" s="490">
        <f>J27-J28</f>
        <v>1.3199281782013088</v>
      </c>
      <c r="N28" s="78"/>
      <c r="O28" s="78"/>
      <c r="P28" s="78"/>
      <c r="Q28" s="78"/>
    </row>
    <row r="29" spans="2:17" s="380" customFormat="1" x14ac:dyDescent="0.25">
      <c r="B29" s="272" t="s">
        <v>27</v>
      </c>
      <c r="C29" s="282">
        <v>152</v>
      </c>
      <c r="D29" s="273">
        <v>236</v>
      </c>
      <c r="E29" s="273" t="s">
        <v>828</v>
      </c>
      <c r="F29" s="273">
        <v>2</v>
      </c>
      <c r="G29" s="274">
        <v>0.8</v>
      </c>
      <c r="H29" s="275">
        <f t="shared" ref="H29" si="12">D29*G29^2</f>
        <v>151.04000000000002</v>
      </c>
      <c r="I29" s="276">
        <f t="shared" ref="I29" si="13">($O$8/G29/2)/D29</f>
        <v>13.334169756355932</v>
      </c>
      <c r="J29" s="311">
        <f t="shared" ref="J29" si="14">$O$11-(C29-I29)</f>
        <v>8.1971697563559189</v>
      </c>
      <c r="K29" s="311">
        <v>6</v>
      </c>
      <c r="L29" s="277">
        <f t="shared" ref="L29" si="15">J29-K29</f>
        <v>2.1971697563559189</v>
      </c>
      <c r="M29" s="490">
        <f>J28-J29</f>
        <v>1.6508972079298019</v>
      </c>
    </row>
    <row r="30" spans="2:17" x14ac:dyDescent="0.25">
      <c r="B30" s="272" t="s">
        <v>27</v>
      </c>
      <c r="C30" s="282">
        <v>152</v>
      </c>
      <c r="D30" s="273">
        <v>245</v>
      </c>
      <c r="E30" s="273" t="s">
        <v>236</v>
      </c>
      <c r="F30" s="273">
        <v>2</v>
      </c>
      <c r="G30" s="274">
        <v>0.8</v>
      </c>
      <c r="H30" s="275">
        <f t="shared" si="8"/>
        <v>156.80000000000004</v>
      </c>
      <c r="I30" s="276">
        <f t="shared" si="9"/>
        <v>12.844343112244896</v>
      </c>
      <c r="J30" s="311">
        <f t="shared" si="10"/>
        <v>7.7073431122448994</v>
      </c>
      <c r="K30" s="311">
        <v>0</v>
      </c>
      <c r="L30" s="277">
        <f t="shared" si="11"/>
        <v>7.7073431122448994</v>
      </c>
      <c r="M30" s="78"/>
      <c r="N30" s="78"/>
      <c r="O30" s="78"/>
      <c r="P30" s="78"/>
      <c r="Q30" s="78"/>
    </row>
    <row r="31" spans="2:17" x14ac:dyDescent="0.25">
      <c r="B31" s="272" t="s">
        <v>27</v>
      </c>
      <c r="C31" s="282">
        <v>152</v>
      </c>
      <c r="D31" s="273">
        <v>280</v>
      </c>
      <c r="E31" s="273" t="s">
        <v>237</v>
      </c>
      <c r="F31" s="273">
        <v>2</v>
      </c>
      <c r="G31" s="274">
        <v>0.8</v>
      </c>
      <c r="H31" s="275">
        <f t="shared" si="8"/>
        <v>179.20000000000005</v>
      </c>
      <c r="I31" s="276">
        <f t="shared" si="9"/>
        <v>11.238800223214286</v>
      </c>
      <c r="J31" s="311">
        <f t="shared" si="10"/>
        <v>6.1018002232142976</v>
      </c>
      <c r="K31" s="311">
        <v>0</v>
      </c>
      <c r="L31" s="277">
        <f t="shared" si="11"/>
        <v>6.1018002232142976</v>
      </c>
      <c r="M31" s="78"/>
      <c r="N31" s="78"/>
      <c r="O31" s="78"/>
      <c r="P31" s="78"/>
      <c r="Q31" s="78"/>
    </row>
    <row r="32" spans="2:17" ht="15.75" thickBot="1" x14ac:dyDescent="0.3">
      <c r="B32" s="283" t="s">
        <v>27</v>
      </c>
      <c r="C32" s="284">
        <v>152</v>
      </c>
      <c r="D32" s="285">
        <v>315</v>
      </c>
      <c r="E32" s="285" t="s">
        <v>238</v>
      </c>
      <c r="F32" s="285">
        <v>2</v>
      </c>
      <c r="G32" s="286">
        <v>0.8</v>
      </c>
      <c r="H32" s="287">
        <f t="shared" si="8"/>
        <v>201.60000000000005</v>
      </c>
      <c r="I32" s="288">
        <f t="shared" si="9"/>
        <v>9.9900446428571428</v>
      </c>
      <c r="J32" s="316">
        <f t="shared" si="10"/>
        <v>4.8530446428571281</v>
      </c>
      <c r="K32" s="316">
        <v>0</v>
      </c>
      <c r="L32" s="289">
        <f t="shared" si="11"/>
        <v>4.8530446428571281</v>
      </c>
    </row>
    <row r="36" spans="12:12" x14ac:dyDescent="0.25">
      <c r="L36" s="453">
        <f>H28-H25</f>
        <v>28.160000000000011</v>
      </c>
    </row>
  </sheetData>
  <phoneticPr fontId="34" type="noConversion"/>
  <conditionalFormatting sqref="F19:F32">
    <cfRule type="colorScale" priority="1">
      <colorScale>
        <cfvo type="min"/>
        <cfvo type="max"/>
        <color rgb="FF63BE7B"/>
        <color rgb="FFFFEF9C"/>
      </colorScale>
    </cfRule>
  </conditionalFormatting>
  <conditionalFormatting sqref="F3:F18">
    <cfRule type="colorScale" priority="22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paperSize="9" scale="3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52DE-4440-4766-8DB0-442900129200}">
  <sheetPr codeName="Sheet17"/>
  <dimension ref="B2:AG35"/>
  <sheetViews>
    <sheetView showGridLines="0" zoomScale="90" zoomScaleNormal="90" workbookViewId="0">
      <selection activeCell="I3" sqref="I3"/>
    </sheetView>
  </sheetViews>
  <sheetFormatPr defaultColWidth="9.140625" defaultRowHeight="15" x14ac:dyDescent="0.25"/>
  <cols>
    <col min="1" max="1" width="3.7109375" customWidth="1"/>
    <col min="22" max="22" width="12" bestFit="1" customWidth="1"/>
  </cols>
  <sheetData>
    <row r="2" spans="2:33" x14ac:dyDescent="0.25">
      <c r="B2" s="84" t="s">
        <v>62</v>
      </c>
      <c r="V2" s="1223" t="s">
        <v>245</v>
      </c>
      <c r="W2" s="1223"/>
      <c r="X2" s="1223"/>
      <c r="Y2" s="1223"/>
      <c r="Z2" s="1223"/>
      <c r="AA2" s="1223"/>
      <c r="AB2" s="1223"/>
      <c r="AC2" s="1223"/>
      <c r="AD2" s="1223"/>
      <c r="AE2" s="1223"/>
      <c r="AF2" s="1223"/>
      <c r="AG2" s="1223"/>
    </row>
    <row r="3" spans="2:33" x14ac:dyDescent="0.25">
      <c r="B3" t="s">
        <v>54</v>
      </c>
    </row>
    <row r="4" spans="2:33" x14ac:dyDescent="0.25">
      <c r="V4" s="322" t="s">
        <v>243</v>
      </c>
      <c r="W4" s="1224" t="s">
        <v>246</v>
      </c>
      <c r="X4" s="1224"/>
      <c r="Y4" s="1224"/>
      <c r="Z4" s="1224"/>
      <c r="AA4" s="1224"/>
      <c r="AB4" s="1224"/>
      <c r="AC4" s="1224"/>
      <c r="AD4" s="1224"/>
      <c r="AE4" s="1224"/>
      <c r="AF4" s="1224"/>
      <c r="AG4" s="1225"/>
    </row>
    <row r="5" spans="2:33" x14ac:dyDescent="0.25">
      <c r="V5" s="326" t="s">
        <v>11</v>
      </c>
      <c r="W5" s="324">
        <v>10</v>
      </c>
      <c r="X5" s="324">
        <v>11</v>
      </c>
      <c r="Y5" s="324">
        <v>12</v>
      </c>
      <c r="Z5" s="324">
        <v>13</v>
      </c>
      <c r="AA5" s="324">
        <v>14</v>
      </c>
      <c r="AB5" s="324">
        <v>15</v>
      </c>
      <c r="AC5" s="324">
        <v>16</v>
      </c>
      <c r="AD5" s="324">
        <v>17</v>
      </c>
      <c r="AE5" s="324">
        <v>18</v>
      </c>
      <c r="AF5" s="324">
        <v>19</v>
      </c>
      <c r="AG5" s="76">
        <v>20</v>
      </c>
    </row>
    <row r="6" spans="2:33" x14ac:dyDescent="0.25">
      <c r="B6" s="318" t="s">
        <v>241</v>
      </c>
      <c r="C6" s="1220" t="s">
        <v>239</v>
      </c>
      <c r="D6" s="1221"/>
      <c r="E6" s="1221"/>
      <c r="F6" s="1221"/>
      <c r="G6" s="1221"/>
      <c r="H6" s="1222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V6" s="327"/>
      <c r="W6" s="324"/>
      <c r="X6" s="324"/>
      <c r="Y6" s="324"/>
      <c r="Z6" s="324"/>
      <c r="AA6" s="324"/>
      <c r="AB6" s="324"/>
      <c r="AC6" s="324"/>
      <c r="AD6" s="324"/>
      <c r="AE6" s="324"/>
      <c r="AF6" s="324"/>
      <c r="AG6" s="76"/>
    </row>
    <row r="7" spans="2:33" x14ac:dyDescent="0.25">
      <c r="B7" s="73" t="s">
        <v>240</v>
      </c>
      <c r="C7" s="73">
        <v>60</v>
      </c>
      <c r="D7" s="320">
        <v>70</v>
      </c>
      <c r="E7" s="320">
        <v>80</v>
      </c>
      <c r="F7" s="73">
        <v>61</v>
      </c>
      <c r="G7" s="320">
        <v>71</v>
      </c>
      <c r="H7" s="73">
        <v>81</v>
      </c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V7" s="327"/>
      <c r="W7" s="324"/>
      <c r="X7" s="324"/>
      <c r="Y7" s="324"/>
      <c r="Z7" s="324"/>
      <c r="AA7" s="324"/>
      <c r="AB7" s="324"/>
      <c r="AC7" s="324"/>
      <c r="AD7" s="324"/>
      <c r="AE7" s="324"/>
      <c r="AF7" s="324"/>
      <c r="AG7" s="76"/>
    </row>
    <row r="8" spans="2:33" x14ac:dyDescent="0.25">
      <c r="B8" s="73">
        <v>0</v>
      </c>
      <c r="C8" s="74">
        <v>0</v>
      </c>
      <c r="D8" s="321">
        <v>0</v>
      </c>
      <c r="E8" s="321">
        <v>0</v>
      </c>
      <c r="F8" s="74">
        <v>0</v>
      </c>
      <c r="G8" s="321">
        <v>0</v>
      </c>
      <c r="H8" s="74">
        <v>0</v>
      </c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V8" s="327"/>
      <c r="W8" s="324"/>
      <c r="X8" s="324"/>
      <c r="Y8" s="324"/>
      <c r="Z8" s="324"/>
      <c r="AA8" s="324"/>
      <c r="AB8" s="324"/>
      <c r="AC8" s="324"/>
      <c r="AD8" s="324"/>
      <c r="AE8" s="324"/>
      <c r="AF8" s="324"/>
      <c r="AG8" s="76"/>
    </row>
    <row r="9" spans="2:33" x14ac:dyDescent="0.25">
      <c r="B9" s="73">
        <v>1</v>
      </c>
      <c r="C9" s="74">
        <v>248</v>
      </c>
      <c r="D9" s="321">
        <v>389</v>
      </c>
      <c r="E9" s="321">
        <v>497</v>
      </c>
      <c r="F9" s="74">
        <v>163</v>
      </c>
      <c r="G9" s="321">
        <v>223</v>
      </c>
      <c r="H9" s="74">
        <v>309</v>
      </c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V9" s="327"/>
      <c r="W9" s="324"/>
      <c r="X9" s="324"/>
      <c r="Y9" s="324"/>
      <c r="Z9" s="324"/>
      <c r="AA9" s="324"/>
      <c r="AB9" s="324"/>
      <c r="AC9" s="324"/>
      <c r="AD9" s="324"/>
      <c r="AE9" s="324"/>
      <c r="AF9" s="324"/>
      <c r="AG9" s="76"/>
    </row>
    <row r="10" spans="2:33" x14ac:dyDescent="0.25">
      <c r="B10" s="73">
        <v>2</v>
      </c>
      <c r="C10" s="74">
        <v>490</v>
      </c>
      <c r="D10" s="321">
        <v>680</v>
      </c>
      <c r="E10" s="321">
        <v>920</v>
      </c>
      <c r="F10" s="74">
        <v>311</v>
      </c>
      <c r="G10" s="321">
        <v>430</v>
      </c>
      <c r="H10" s="74">
        <v>582</v>
      </c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V10" s="327"/>
      <c r="W10" s="324"/>
      <c r="X10" s="324"/>
      <c r="Y10" s="324"/>
      <c r="Z10" s="324"/>
      <c r="AA10" s="324"/>
      <c r="AB10" s="324"/>
      <c r="AC10" s="324"/>
      <c r="AD10" s="324"/>
      <c r="AE10" s="324"/>
      <c r="AF10" s="324"/>
      <c r="AG10" s="76"/>
    </row>
    <row r="11" spans="2:33" x14ac:dyDescent="0.25">
      <c r="B11" s="73">
        <v>3</v>
      </c>
      <c r="C11" s="74">
        <v>771</v>
      </c>
      <c r="D11" s="321">
        <v>990</v>
      </c>
      <c r="E11" s="321">
        <v>1423</v>
      </c>
      <c r="F11" s="74">
        <v>484</v>
      </c>
      <c r="G11" s="321">
        <v>651</v>
      </c>
      <c r="H11" s="74">
        <v>892</v>
      </c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V11" s="327"/>
      <c r="W11" s="324"/>
      <c r="X11" s="324"/>
      <c r="Y11" s="324"/>
      <c r="Z11" s="324"/>
      <c r="AA11" s="324"/>
      <c r="AB11" s="324"/>
      <c r="AC11" s="324"/>
      <c r="AD11" s="324"/>
      <c r="AE11" s="324"/>
      <c r="AF11" s="324"/>
      <c r="AG11" s="76"/>
    </row>
    <row r="12" spans="2:33" x14ac:dyDescent="0.25">
      <c r="B12" s="73">
        <v>4</v>
      </c>
      <c r="C12" s="74">
        <v>1122</v>
      </c>
      <c r="D12" s="321">
        <v>1382</v>
      </c>
      <c r="E12" s="321">
        <v>2065</v>
      </c>
      <c r="F12" s="74">
        <v>691</v>
      </c>
      <c r="G12" s="321">
        <v>919</v>
      </c>
      <c r="H12" s="74">
        <v>1304</v>
      </c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V12" s="327"/>
      <c r="W12" s="324"/>
      <c r="X12" s="324"/>
      <c r="Y12" s="324"/>
      <c r="Z12" s="324"/>
      <c r="AA12" s="324"/>
      <c r="AB12" s="324"/>
      <c r="AC12" s="324"/>
      <c r="AD12" s="324"/>
      <c r="AE12" s="324"/>
      <c r="AF12" s="324"/>
      <c r="AG12" s="76"/>
    </row>
    <row r="13" spans="2:33" x14ac:dyDescent="0.25">
      <c r="B13" s="73">
        <v>5</v>
      </c>
      <c r="C13" s="74">
        <v>1597</v>
      </c>
      <c r="D13" s="321">
        <v>1959</v>
      </c>
      <c r="E13" s="321">
        <v>2963</v>
      </c>
      <c r="F13" s="74">
        <v>961</v>
      </c>
      <c r="G13" s="321">
        <v>1297</v>
      </c>
      <c r="H13" s="74">
        <v>1924</v>
      </c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V13" s="327"/>
      <c r="W13" s="324"/>
      <c r="X13" s="324"/>
      <c r="Y13" s="324"/>
      <c r="Z13" s="324"/>
      <c r="AA13" s="324"/>
      <c r="AB13" s="324"/>
      <c r="AC13" s="324"/>
      <c r="AD13" s="324"/>
      <c r="AE13" s="324"/>
      <c r="AF13" s="324"/>
      <c r="AG13" s="76"/>
    </row>
    <row r="14" spans="2:33" x14ac:dyDescent="0.25">
      <c r="B14" s="73">
        <v>6</v>
      </c>
      <c r="C14" s="74">
        <v>2320</v>
      </c>
      <c r="D14" s="321">
        <v>2987</v>
      </c>
      <c r="E14" s="321">
        <v>4409</v>
      </c>
      <c r="F14" s="74">
        <v>1354</v>
      </c>
      <c r="G14" s="321">
        <v>1939</v>
      </c>
      <c r="H14" s="74">
        <v>3025</v>
      </c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V14" s="327"/>
      <c r="W14" s="324"/>
      <c r="X14" s="324"/>
      <c r="Y14" s="324"/>
      <c r="Z14" s="324"/>
      <c r="AA14" s="324"/>
      <c r="AB14" s="324"/>
      <c r="AC14" s="324"/>
      <c r="AD14" s="324"/>
      <c r="AE14" s="324"/>
      <c r="AF14" s="324"/>
      <c r="AG14" s="76"/>
    </row>
    <row r="15" spans="2:33" x14ac:dyDescent="0.25">
      <c r="B15" s="73">
        <v>7</v>
      </c>
      <c r="C15" s="74">
        <v>3672</v>
      </c>
      <c r="D15" s="321">
        <v>5046</v>
      </c>
      <c r="E15" s="321">
        <v>7133</v>
      </c>
      <c r="F15" s="74">
        <v>1967</v>
      </c>
      <c r="G15" s="321">
        <v>3295</v>
      </c>
      <c r="H15" s="74">
        <v>5309</v>
      </c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V15" s="327"/>
      <c r="W15" s="324"/>
      <c r="X15" s="324"/>
      <c r="Y15" s="324"/>
      <c r="Z15" s="324"/>
      <c r="AA15" s="324"/>
      <c r="AB15" s="324"/>
      <c r="AC15" s="324"/>
      <c r="AD15" s="324"/>
      <c r="AE15" s="324"/>
      <c r="AF15" s="324"/>
      <c r="AG15" s="76"/>
    </row>
    <row r="16" spans="2:33" x14ac:dyDescent="0.25"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V16" s="328"/>
      <c r="W16" s="325"/>
      <c r="X16" s="325"/>
      <c r="Y16" s="325"/>
      <c r="Z16" s="325"/>
      <c r="AA16" s="325"/>
      <c r="AB16" s="325"/>
      <c r="AC16" s="325"/>
      <c r="AD16" s="325"/>
      <c r="AE16" s="325"/>
      <c r="AF16" s="325"/>
      <c r="AG16" s="77"/>
    </row>
    <row r="17" spans="2:33" x14ac:dyDescent="0.25"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V18" s="322" t="s">
        <v>244</v>
      </c>
      <c r="W18" s="1224" t="s">
        <v>246</v>
      </c>
      <c r="X18" s="1224"/>
      <c r="Y18" s="1224"/>
      <c r="Z18" s="1224"/>
      <c r="AA18" s="1224"/>
      <c r="AB18" s="1224"/>
      <c r="AC18" s="1224"/>
      <c r="AD18" s="1224"/>
      <c r="AE18" s="1224"/>
      <c r="AF18" s="1224"/>
      <c r="AG18" s="1225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V19" s="323" t="s">
        <v>242</v>
      </c>
      <c r="W19" s="324">
        <v>25</v>
      </c>
      <c r="X19" s="324">
        <v>26</v>
      </c>
      <c r="Y19" s="324">
        <v>27</v>
      </c>
      <c r="Z19" s="324">
        <v>28</v>
      </c>
      <c r="AA19" s="324">
        <v>29</v>
      </c>
      <c r="AB19" s="324">
        <v>30</v>
      </c>
      <c r="AC19" s="324">
        <v>31</v>
      </c>
      <c r="AD19" s="324">
        <v>32</v>
      </c>
      <c r="AE19" s="324">
        <v>33</v>
      </c>
      <c r="AF19" s="324">
        <v>34</v>
      </c>
      <c r="AG19" s="76">
        <v>35</v>
      </c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V20" s="329"/>
      <c r="W20" s="324"/>
      <c r="X20" s="324"/>
      <c r="Y20" s="324"/>
      <c r="Z20" s="324"/>
      <c r="AA20" s="324"/>
      <c r="AB20" s="324"/>
      <c r="AC20" s="324"/>
      <c r="AD20" s="324"/>
      <c r="AE20" s="324"/>
      <c r="AF20" s="324"/>
      <c r="AG20" s="76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V21" s="329"/>
      <c r="W21" s="324"/>
      <c r="X21" s="324"/>
      <c r="Y21" s="324"/>
      <c r="Z21" s="324"/>
      <c r="AA21" s="324"/>
      <c r="AB21" s="324"/>
      <c r="AC21" s="324"/>
      <c r="AD21" s="324"/>
      <c r="AE21" s="324"/>
      <c r="AF21" s="324"/>
      <c r="AG21" s="76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V22" s="329"/>
      <c r="W22" s="324"/>
      <c r="X22" s="324"/>
      <c r="Y22" s="324"/>
      <c r="Z22" s="324"/>
      <c r="AA22" s="324"/>
      <c r="AB22" s="324"/>
      <c r="AC22" s="324"/>
      <c r="AD22" s="324"/>
      <c r="AE22" s="324"/>
      <c r="AF22" s="324"/>
      <c r="AG22" s="76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V23" s="329"/>
      <c r="W23" s="324"/>
      <c r="X23" s="324"/>
      <c r="Y23" s="324"/>
      <c r="Z23" s="324"/>
      <c r="AA23" s="324"/>
      <c r="AB23" s="324"/>
      <c r="AC23" s="324"/>
      <c r="AD23" s="324"/>
      <c r="AE23" s="324"/>
      <c r="AF23" s="324"/>
      <c r="AG23" s="76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V24" s="329"/>
      <c r="W24" s="324"/>
      <c r="X24" s="324"/>
      <c r="Y24" s="324"/>
      <c r="Z24" s="324"/>
      <c r="AA24" s="324"/>
      <c r="AB24" s="324"/>
      <c r="AC24" s="324"/>
      <c r="AD24" s="324"/>
      <c r="AE24" s="324"/>
      <c r="AF24" s="324"/>
      <c r="AG24" s="76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V25" s="329"/>
      <c r="W25" s="324"/>
      <c r="X25" s="324"/>
      <c r="Y25" s="324"/>
      <c r="Z25" s="324"/>
      <c r="AA25" s="324"/>
      <c r="AB25" s="324"/>
      <c r="AC25" s="324"/>
      <c r="AD25" s="324"/>
      <c r="AE25" s="324"/>
      <c r="AF25" s="324"/>
      <c r="AG25" s="76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V26" s="329"/>
      <c r="W26" s="324"/>
      <c r="X26" s="324"/>
      <c r="Y26" s="324"/>
      <c r="Z26" s="324"/>
      <c r="AA26" s="324"/>
      <c r="AB26" s="324"/>
      <c r="AC26" s="324"/>
      <c r="AD26" s="324"/>
      <c r="AE26" s="324"/>
      <c r="AF26" s="324"/>
      <c r="AG26" s="76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V27" s="329"/>
      <c r="W27" s="324"/>
      <c r="X27" s="324"/>
      <c r="Y27" s="324"/>
      <c r="Z27" s="324"/>
      <c r="AA27" s="324"/>
      <c r="AB27" s="324"/>
      <c r="AC27" s="324"/>
      <c r="AD27" s="324"/>
      <c r="AE27" s="324"/>
      <c r="AF27" s="324"/>
      <c r="AG27" s="76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V28" s="329"/>
      <c r="W28" s="324"/>
      <c r="X28" s="324"/>
      <c r="Y28" s="324"/>
      <c r="Z28" s="324"/>
      <c r="AA28" s="324"/>
      <c r="AB28" s="324"/>
      <c r="AC28" s="324"/>
      <c r="AD28" s="324"/>
      <c r="AE28" s="324"/>
      <c r="AF28" s="324"/>
      <c r="AG28" s="76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V29" s="329"/>
      <c r="W29" s="324"/>
      <c r="X29" s="324"/>
      <c r="Y29" s="324"/>
      <c r="Z29" s="324"/>
      <c r="AA29" s="324"/>
      <c r="AB29" s="324"/>
      <c r="AC29" s="324"/>
      <c r="AD29" s="324"/>
      <c r="AE29" s="324"/>
      <c r="AF29" s="324"/>
      <c r="AG29" s="76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V30" s="329"/>
      <c r="W30" s="324"/>
      <c r="X30" s="324"/>
      <c r="Y30" s="324"/>
      <c r="Z30" s="324"/>
      <c r="AA30" s="324"/>
      <c r="AB30" s="324"/>
      <c r="AC30" s="324"/>
      <c r="AD30" s="324"/>
      <c r="AE30" s="324"/>
      <c r="AF30" s="324"/>
      <c r="AG30" s="76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V31" s="329"/>
      <c r="W31" s="324"/>
      <c r="X31" s="324"/>
      <c r="Y31" s="324"/>
      <c r="Z31" s="324"/>
      <c r="AA31" s="324"/>
      <c r="AB31" s="324"/>
      <c r="AC31" s="324"/>
      <c r="AD31" s="324"/>
      <c r="AE31" s="324"/>
      <c r="AF31" s="324"/>
      <c r="AG31" s="76"/>
    </row>
    <row r="32" spans="2:33" x14ac:dyDescent="0.25"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V32" s="329"/>
      <c r="W32" s="324"/>
      <c r="X32" s="324"/>
      <c r="Y32" s="324"/>
      <c r="Z32" s="324"/>
      <c r="AA32" s="324"/>
      <c r="AB32" s="324"/>
      <c r="AC32" s="324"/>
      <c r="AD32" s="324"/>
      <c r="AE32" s="324"/>
      <c r="AF32" s="324"/>
      <c r="AG32" s="76"/>
    </row>
    <row r="33" spans="2:33" x14ac:dyDescent="0.25"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V33" s="329"/>
      <c r="W33" s="324"/>
      <c r="X33" s="324"/>
      <c r="Y33" s="324"/>
      <c r="Z33" s="324"/>
      <c r="AA33" s="324"/>
      <c r="AB33" s="324"/>
      <c r="AC33" s="324"/>
      <c r="AD33" s="324"/>
      <c r="AE33" s="324"/>
      <c r="AF33" s="324"/>
      <c r="AG33" s="76"/>
    </row>
    <row r="34" spans="2:33" x14ac:dyDescent="0.25"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V34" s="329"/>
      <c r="W34" s="324"/>
      <c r="X34" s="324"/>
      <c r="Y34" s="324"/>
      <c r="Z34" s="324"/>
      <c r="AA34" s="324"/>
      <c r="AB34" s="324"/>
      <c r="AC34" s="324"/>
      <c r="AD34" s="324"/>
      <c r="AE34" s="324"/>
      <c r="AF34" s="324"/>
      <c r="AG34" s="76"/>
    </row>
    <row r="35" spans="2:33" x14ac:dyDescent="0.25">
      <c r="V35" s="330"/>
      <c r="W35" s="325"/>
      <c r="X35" s="325"/>
      <c r="Y35" s="325"/>
      <c r="Z35" s="325"/>
      <c r="AA35" s="325"/>
      <c r="AB35" s="325"/>
      <c r="AC35" s="325"/>
      <c r="AD35" s="325"/>
      <c r="AE35" s="325"/>
      <c r="AF35" s="325"/>
      <c r="AG35" s="77"/>
    </row>
  </sheetData>
  <mergeCells count="4">
    <mergeCell ref="C6:H6"/>
    <mergeCell ref="V2:AG2"/>
    <mergeCell ref="W4:AG4"/>
    <mergeCell ref="W18:AG18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6C76-20E9-432D-95ED-4844A8D852F3}">
  <sheetPr codeName="Sheet18">
    <pageSetUpPr fitToPage="1"/>
  </sheetPr>
  <dimension ref="A1:I67"/>
  <sheetViews>
    <sheetView showGridLines="0" zoomScaleNormal="100" workbookViewId="0">
      <selection activeCell="G6" sqref="G6"/>
    </sheetView>
  </sheetViews>
  <sheetFormatPr defaultColWidth="9.140625" defaultRowHeight="15" x14ac:dyDescent="0.25"/>
  <cols>
    <col min="1" max="1" width="3.7109375" customWidth="1"/>
    <col min="2" max="2" width="13.7109375" customWidth="1"/>
    <col min="3" max="3" width="21.140625" customWidth="1"/>
    <col min="4" max="4" width="21.42578125" customWidth="1"/>
    <col min="5" max="5" width="14.140625" customWidth="1"/>
    <col min="6" max="6" width="22.7109375" customWidth="1"/>
    <col min="7" max="8" width="26.5703125" bestFit="1" customWidth="1"/>
    <col min="9" max="9" width="26.5703125" style="380" bestFit="1" customWidth="1"/>
  </cols>
  <sheetData>
    <row r="1" spans="1:9" x14ac:dyDescent="0.25">
      <c r="A1" t="s">
        <v>475</v>
      </c>
    </row>
    <row r="2" spans="1:9" x14ac:dyDescent="0.25">
      <c r="B2" s="633" t="s">
        <v>53</v>
      </c>
      <c r="C2" s="634"/>
    </row>
    <row r="4" spans="1:9" x14ac:dyDescent="0.25">
      <c r="B4" s="591"/>
      <c r="C4" s="80" t="s">
        <v>468</v>
      </c>
      <c r="D4" s="80" t="s">
        <v>469</v>
      </c>
      <c r="E4" s="80" t="s">
        <v>470</v>
      </c>
      <c r="F4" s="80" t="s">
        <v>474</v>
      </c>
      <c r="G4" s="80" t="s">
        <v>471</v>
      </c>
      <c r="H4" s="80" t="s">
        <v>472</v>
      </c>
      <c r="I4" s="624" t="s">
        <v>473</v>
      </c>
    </row>
    <row r="5" spans="1:9" x14ac:dyDescent="0.25">
      <c r="B5" s="94" t="s">
        <v>26</v>
      </c>
      <c r="C5" s="625">
        <v>350.59699999999998</v>
      </c>
      <c r="D5" s="625">
        <v>65.22</v>
      </c>
      <c r="E5" s="625">
        <v>326.89699999999999</v>
      </c>
      <c r="F5" s="626">
        <f>C5-D5</f>
        <v>285.37699999999995</v>
      </c>
      <c r="G5" s="625">
        <v>87.4</v>
      </c>
      <c r="H5" s="626">
        <f>G5-(C5-E5)</f>
        <v>63.700000000000017</v>
      </c>
      <c r="I5" s="627">
        <f>G5-D5</f>
        <v>22.180000000000007</v>
      </c>
    </row>
    <row r="6" spans="1:9" x14ac:dyDescent="0.25">
      <c r="B6" s="94" t="s">
        <v>27</v>
      </c>
      <c r="C6" s="625">
        <v>407.00799999999998</v>
      </c>
      <c r="D6" s="625">
        <v>80.215000000000003</v>
      </c>
      <c r="E6" s="625">
        <v>379.08300000000003</v>
      </c>
      <c r="F6" s="626">
        <f>C6-D6</f>
        <v>326.79300000000001</v>
      </c>
      <c r="G6" s="625">
        <v>96.4</v>
      </c>
      <c r="H6" s="626">
        <f>G6-(C6-E6)</f>
        <v>68.475000000000051</v>
      </c>
      <c r="I6" s="627">
        <f>G6-D6</f>
        <v>16.185000000000002</v>
      </c>
    </row>
    <row r="7" spans="1:9" x14ac:dyDescent="0.25">
      <c r="B7" s="94" t="s">
        <v>89</v>
      </c>
      <c r="C7" s="625">
        <v>697.52</v>
      </c>
      <c r="D7" s="625">
        <v>86.97</v>
      </c>
      <c r="E7" s="625">
        <v>660</v>
      </c>
      <c r="F7" s="626">
        <f>C7-D7</f>
        <v>610.54999999999995</v>
      </c>
      <c r="G7" s="625">
        <f>135+37.5</f>
        <v>172.5</v>
      </c>
      <c r="H7" s="626">
        <f>G7-(C7-E7)</f>
        <v>134.98000000000002</v>
      </c>
      <c r="I7" s="627">
        <f>G7-D7</f>
        <v>85.53</v>
      </c>
    </row>
    <row r="8" spans="1:9" x14ac:dyDescent="0.25">
      <c r="B8" s="95" t="s">
        <v>90</v>
      </c>
      <c r="C8" s="628">
        <v>560.06600000000003</v>
      </c>
      <c r="D8" s="628">
        <v>86.972999999999999</v>
      </c>
      <c r="E8" s="628">
        <v>527.18499999999995</v>
      </c>
      <c r="F8" s="629">
        <f>C8-D8</f>
        <v>473.09300000000002</v>
      </c>
      <c r="G8" s="628">
        <v>232.9</v>
      </c>
      <c r="H8" s="629">
        <f>G8-(C8-E8)</f>
        <v>200.01899999999992</v>
      </c>
      <c r="I8" s="630">
        <f>G8-D8</f>
        <v>145.92700000000002</v>
      </c>
    </row>
    <row r="10" spans="1:9" x14ac:dyDescent="0.25">
      <c r="B10" s="591"/>
      <c r="C10" s="80" t="s">
        <v>479</v>
      </c>
      <c r="D10" s="80" t="s">
        <v>476</v>
      </c>
      <c r="E10" s="80" t="s">
        <v>477</v>
      </c>
      <c r="F10" s="80" t="s">
        <v>480</v>
      </c>
      <c r="G10" s="80" t="s">
        <v>491</v>
      </c>
      <c r="H10" s="80" t="s">
        <v>478</v>
      </c>
      <c r="I10" s="651" t="s">
        <v>498</v>
      </c>
    </row>
    <row r="11" spans="1:9" x14ac:dyDescent="0.25">
      <c r="B11" s="94" t="s">
        <v>26</v>
      </c>
      <c r="C11" s="642">
        <f>E5</f>
        <v>326.89699999999999</v>
      </c>
      <c r="D11" s="625">
        <v>28</v>
      </c>
      <c r="E11" s="625">
        <v>15</v>
      </c>
      <c r="F11" s="631">
        <v>5</v>
      </c>
      <c r="G11" s="644">
        <f>G5-(C5-C11)</f>
        <v>63.700000000000017</v>
      </c>
      <c r="H11" s="648">
        <f>G5-(C5-C11)-D11-E11-F11</f>
        <v>15.700000000000017</v>
      </c>
      <c r="I11" s="649">
        <f>C5-C11</f>
        <v>23.699999999999989</v>
      </c>
    </row>
    <row r="12" spans="1:9" x14ac:dyDescent="0.25">
      <c r="B12" s="94" t="s">
        <v>27</v>
      </c>
      <c r="C12" s="642">
        <f>E6+8</f>
        <v>387.08300000000003</v>
      </c>
      <c r="D12" s="625">
        <v>45</v>
      </c>
      <c r="E12" s="625">
        <v>15</v>
      </c>
      <c r="F12" s="631">
        <v>5</v>
      </c>
      <c r="G12" s="644">
        <f>G6-(C6-C12)</f>
        <v>76.475000000000051</v>
      </c>
      <c r="H12" s="648">
        <f>G6-(C6-C12)-D12-E12-F12</f>
        <v>11.475000000000051</v>
      </c>
      <c r="I12" s="649">
        <f>C6-C12</f>
        <v>19.924999999999955</v>
      </c>
    </row>
    <row r="13" spans="1:9" x14ac:dyDescent="0.25">
      <c r="B13" s="94" t="s">
        <v>89</v>
      </c>
      <c r="C13" s="642">
        <f>E7</f>
        <v>660</v>
      </c>
      <c r="D13" s="625">
        <v>17</v>
      </c>
      <c r="E13" s="625">
        <v>58.7</v>
      </c>
      <c r="F13" s="631">
        <v>0</v>
      </c>
      <c r="G13" s="644">
        <f>G7-(C7-C13)</f>
        <v>134.98000000000002</v>
      </c>
      <c r="H13" s="648">
        <f>G7-(C7-C13)-D13-E13-F13</f>
        <v>59.280000000000015</v>
      </c>
      <c r="I13" s="649">
        <f>C7-C13</f>
        <v>37.519999999999982</v>
      </c>
    </row>
    <row r="14" spans="1:9" x14ac:dyDescent="0.25">
      <c r="B14" s="95" t="s">
        <v>90</v>
      </c>
      <c r="C14" s="643">
        <f>E8+9</f>
        <v>536.18499999999995</v>
      </c>
      <c r="D14" s="628">
        <v>25</v>
      </c>
      <c r="E14" s="628">
        <v>138</v>
      </c>
      <c r="F14" s="632">
        <v>0</v>
      </c>
      <c r="G14" s="645">
        <f>G8-(C8-C14)</f>
        <v>209.01899999999992</v>
      </c>
      <c r="H14" s="650">
        <f>G8-(C8-C14)-D14-E14-F14</f>
        <v>46.01899999999992</v>
      </c>
      <c r="I14" s="652">
        <f>C8-C14</f>
        <v>23.881000000000085</v>
      </c>
    </row>
    <row r="53" spans="4:7" x14ac:dyDescent="0.25">
      <c r="D53" s="168"/>
      <c r="E53" s="168"/>
      <c r="F53" s="168"/>
      <c r="G53" s="168"/>
    </row>
    <row r="54" spans="4:7" x14ac:dyDescent="0.25">
      <c r="D54" s="168"/>
      <c r="E54" s="168"/>
      <c r="F54" s="168"/>
      <c r="G54" s="168"/>
    </row>
    <row r="55" spans="4:7" x14ac:dyDescent="0.25">
      <c r="D55" s="168"/>
      <c r="E55" s="168"/>
      <c r="F55" s="168"/>
      <c r="G55" s="168"/>
    </row>
    <row r="56" spans="4:7" x14ac:dyDescent="0.25">
      <c r="D56" s="168"/>
      <c r="E56" s="168"/>
      <c r="F56" s="168"/>
      <c r="G56" s="168"/>
    </row>
    <row r="57" spans="4:7" x14ac:dyDescent="0.25">
      <c r="D57" s="168"/>
      <c r="E57" s="168"/>
      <c r="F57" s="168"/>
      <c r="G57" s="168"/>
    </row>
    <row r="58" spans="4:7" x14ac:dyDescent="0.25">
      <c r="D58" s="168"/>
      <c r="E58" s="168"/>
      <c r="F58" s="168"/>
      <c r="G58" s="168"/>
    </row>
    <row r="59" spans="4:7" x14ac:dyDescent="0.25">
      <c r="D59" s="168"/>
      <c r="E59" s="168"/>
      <c r="F59" s="168"/>
      <c r="G59" s="168"/>
    </row>
    <row r="60" spans="4:7" x14ac:dyDescent="0.25">
      <c r="D60" s="168"/>
      <c r="E60" s="168"/>
      <c r="F60" s="168"/>
      <c r="G60" s="168"/>
    </row>
    <row r="61" spans="4:7" x14ac:dyDescent="0.25">
      <c r="D61" s="168"/>
      <c r="E61" s="168"/>
      <c r="F61" s="168"/>
      <c r="G61" s="168"/>
    </row>
    <row r="62" spans="4:7" x14ac:dyDescent="0.25">
      <c r="D62" s="168"/>
      <c r="E62" s="168"/>
      <c r="F62" s="168"/>
      <c r="G62" s="168"/>
    </row>
    <row r="63" spans="4:7" x14ac:dyDescent="0.25">
      <c r="D63" s="168"/>
      <c r="E63" s="168"/>
      <c r="F63" s="168"/>
      <c r="G63" s="168"/>
    </row>
    <row r="64" spans="4:7" x14ac:dyDescent="0.25">
      <c r="D64" s="168"/>
      <c r="E64" s="168"/>
      <c r="F64" s="168"/>
      <c r="G64" s="168"/>
    </row>
    <row r="65" spans="4:7" x14ac:dyDescent="0.25">
      <c r="D65" s="168"/>
      <c r="E65" s="168"/>
      <c r="F65" s="168"/>
      <c r="G65" s="168"/>
    </row>
    <row r="66" spans="4:7" x14ac:dyDescent="0.25">
      <c r="D66" s="168"/>
      <c r="E66" s="168"/>
      <c r="F66" s="168"/>
      <c r="G66" s="168"/>
    </row>
    <row r="67" spans="4:7" x14ac:dyDescent="0.25">
      <c r="D67" s="168"/>
      <c r="E67" s="168"/>
      <c r="F67" s="168"/>
      <c r="G67" s="168"/>
    </row>
  </sheetData>
  <pageMargins left="0.7" right="0.7" top="0.75" bottom="0.75" header="0.3" footer="0.3"/>
  <pageSetup paperSize="9" scale="74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9DFF-0B7B-43EB-8D25-BB1F4757CEF0}">
  <sheetPr codeName="Sheet19"/>
  <dimension ref="B1:S37"/>
  <sheetViews>
    <sheetView showGridLines="0" topLeftCell="A28" zoomScale="85" zoomScaleNormal="85" workbookViewId="0">
      <selection activeCell="T33" sqref="T33"/>
    </sheetView>
  </sheetViews>
  <sheetFormatPr defaultColWidth="9.140625" defaultRowHeight="15" x14ac:dyDescent="0.25"/>
  <cols>
    <col min="1" max="1" width="3.7109375" customWidth="1"/>
    <col min="2" max="3" width="20.42578125" style="78" customWidth="1"/>
    <col min="4" max="4" width="18.5703125" style="380" customWidth="1"/>
    <col min="5" max="5" width="17.5703125" style="380" customWidth="1"/>
    <col min="6" max="6" width="3.7109375" style="78" customWidth="1"/>
    <col min="7" max="7" width="41.5703125" bestFit="1" customWidth="1"/>
    <col min="8" max="8" width="9" bestFit="1" customWidth="1"/>
    <col min="9" max="9" width="20" bestFit="1" customWidth="1"/>
    <col min="10" max="10" width="12" bestFit="1" customWidth="1"/>
    <col min="11" max="11" width="6.42578125" bestFit="1" customWidth="1"/>
    <col min="13" max="13" width="27.85546875" customWidth="1"/>
    <col min="14" max="15" width="10" bestFit="1" customWidth="1"/>
    <col min="16" max="16" width="5.85546875" bestFit="1" customWidth="1"/>
  </cols>
  <sheetData>
    <row r="1" spans="2:19" ht="15.75" thickBot="1" x14ac:dyDescent="0.3"/>
    <row r="2" spans="2:19" x14ac:dyDescent="0.25">
      <c r="B2" s="75" t="s">
        <v>185</v>
      </c>
      <c r="C2" s="331" t="s">
        <v>34</v>
      </c>
      <c r="D2" s="460"/>
      <c r="E2" s="460"/>
      <c r="G2" s="1226" t="s">
        <v>135</v>
      </c>
      <c r="H2" s="1227"/>
      <c r="I2" s="1227"/>
      <c r="J2" s="1227"/>
      <c r="K2" s="1227"/>
      <c r="L2" s="1227"/>
      <c r="M2" s="1227"/>
      <c r="N2" s="1227"/>
      <c r="O2" s="1227"/>
      <c r="P2" s="1227"/>
      <c r="Q2" s="1228"/>
    </row>
    <row r="3" spans="2:19" s="78" customFormat="1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229" t="s">
        <v>177</v>
      </c>
      <c r="H4" s="1230"/>
      <c r="I4" s="1231"/>
      <c r="J4" s="381"/>
      <c r="K4" s="381"/>
      <c r="L4" s="381"/>
      <c r="M4" s="1229" t="s">
        <v>179</v>
      </c>
      <c r="N4" s="1230"/>
      <c r="O4" s="1230"/>
      <c r="P4" s="1230"/>
      <c r="Q4" s="1231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531</v>
      </c>
      <c r="H5" s="723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533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532</v>
      </c>
      <c r="H6" s="723">
        <f>45/2</f>
        <v>22.5</v>
      </c>
      <c r="I6" s="381" t="s">
        <v>136</v>
      </c>
      <c r="J6" s="381"/>
      <c r="K6" s="381"/>
      <c r="L6" s="381"/>
      <c r="M6" s="82" t="s">
        <v>529</v>
      </c>
      <c r="N6" s="261">
        <v>0.62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23436</v>
      </c>
      <c r="O9" s="176">
        <f>N5*(1-N6)</f>
        <v>14364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25" t="s">
        <v>175</v>
      </c>
      <c r="H11" s="726">
        <v>0</v>
      </c>
      <c r="I11" s="726" t="s">
        <v>145</v>
      </c>
      <c r="J11" s="381"/>
      <c r="K11" s="381"/>
      <c r="L11" s="381"/>
      <c r="M11" s="381" t="s">
        <v>146</v>
      </c>
      <c r="N11" s="176">
        <f>N9*N10/2</f>
        <v>4054.4279999999999</v>
      </c>
      <c r="O11" s="176">
        <f>O9*O10/2</f>
        <v>2484.9719999999998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25" t="s">
        <v>176</v>
      </c>
      <c r="H12" s="726">
        <v>0</v>
      </c>
      <c r="I12" s="726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24797.724770642199</v>
      </c>
      <c r="O13" s="176">
        <f>O11/O12</f>
        <v>16456.768211920527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20.6</v>
      </c>
      <c r="I14" s="381" t="s">
        <v>67</v>
      </c>
      <c r="J14" s="176">
        <f>PI()*H14^2/4</f>
        <v>333.29156461934122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99.032447167101452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49595.449541284397</v>
      </c>
      <c r="O15" s="176">
        <f>O13/O14</f>
        <v>32913.536423841055</v>
      </c>
      <c r="P15" s="388"/>
      <c r="Q15" s="87"/>
      <c r="S15" t="s">
        <v>610</v>
      </c>
    </row>
    <row r="16" spans="2:19" x14ac:dyDescent="0.25">
      <c r="B16" s="534" t="s">
        <v>431</v>
      </c>
      <c r="C16" s="95" t="s">
        <v>530</v>
      </c>
      <c r="D16" s="97"/>
      <c r="E16" s="381"/>
      <c r="G16" s="99" t="s">
        <v>154</v>
      </c>
      <c r="H16" s="259">
        <f>O17</f>
        <v>65.721917779235341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96">
        <v>2.5000000000000001E-3</v>
      </c>
    </row>
    <row r="17" spans="2:19" x14ac:dyDescent="0.25">
      <c r="G17" s="99"/>
      <c r="H17" s="381"/>
      <c r="I17" s="381"/>
      <c r="J17" s="381"/>
      <c r="K17" s="381"/>
      <c r="L17" s="381"/>
      <c r="M17" s="381" t="s">
        <v>157</v>
      </c>
      <c r="N17" s="259">
        <f>N15/N16/100000/2</f>
        <v>99.032447167101452</v>
      </c>
      <c r="O17" s="259">
        <f>O15/O16/100000/2</f>
        <v>65.721917779235341</v>
      </c>
      <c r="P17" s="388" t="s">
        <v>153</v>
      </c>
      <c r="Q17" s="146">
        <f>N17/(N17+O17)</f>
        <v>0.601091492776886</v>
      </c>
      <c r="S17" s="796">
        <v>1.895E-3</v>
      </c>
    </row>
    <row r="18" spans="2:19" x14ac:dyDescent="0.25">
      <c r="B18" s="546" t="s">
        <v>434</v>
      </c>
      <c r="C18" s="547"/>
      <c r="D18" s="547"/>
      <c r="E18" s="548"/>
      <c r="G18" s="99"/>
      <c r="H18" s="381"/>
      <c r="I18" s="381"/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13</v>
      </c>
      <c r="C19" s="381"/>
      <c r="D19" s="381"/>
      <c r="E19" s="382"/>
      <c r="G19" s="99" t="s">
        <v>159</v>
      </c>
      <c r="H19" s="256">
        <f>N16*1000000</f>
        <v>2503.9999999999995</v>
      </c>
      <c r="I19" s="381" t="s">
        <v>149</v>
      </c>
      <c r="J19" s="381"/>
      <c r="K19" s="381"/>
      <c r="L19" s="381"/>
      <c r="M19" s="381" t="s">
        <v>160</v>
      </c>
      <c r="N19" s="254">
        <v>16.8</v>
      </c>
      <c r="O19" s="254">
        <v>20.6</v>
      </c>
      <c r="P19" s="388" t="s">
        <v>67</v>
      </c>
      <c r="Q19" s="87"/>
    </row>
    <row r="20" spans="2:19" x14ac:dyDescent="0.25">
      <c r="B20" s="549" t="s">
        <v>249</v>
      </c>
      <c r="C20" s="550" t="s">
        <v>439</v>
      </c>
      <c r="D20" s="550" t="s">
        <v>666</v>
      </c>
      <c r="E20" s="551"/>
      <c r="G20" s="99" t="s">
        <v>161</v>
      </c>
      <c r="H20" s="256">
        <f>O16*1000000</f>
        <v>2503.9999999999995</v>
      </c>
      <c r="I20" s="381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3.3312260000000008E-4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901">
        <v>1</v>
      </c>
      <c r="D21" s="554">
        <f>1-C21</f>
        <v>0</v>
      </c>
      <c r="E21" s="561"/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2194.1470542427528</v>
      </c>
      <c r="O21" s="176">
        <f>O17*O20*100000</f>
        <v>2189.3456127605109</v>
      </c>
      <c r="P21" s="388" t="s">
        <v>182</v>
      </c>
      <c r="Q21" s="87"/>
    </row>
    <row r="22" spans="2:19" ht="15.75" thickBot="1" x14ac:dyDescent="0.3">
      <c r="B22" s="552" t="s">
        <v>437</v>
      </c>
      <c r="C22" s="901">
        <v>0.8</v>
      </c>
      <c r="D22" s="554">
        <f t="shared" ref="D22:D27" si="0">1-C22</f>
        <v>0.19999999999999996</v>
      </c>
      <c r="E22" s="561"/>
      <c r="G22" s="1234" t="s">
        <v>178</v>
      </c>
      <c r="H22" s="1235"/>
      <c r="I22" s="1236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901">
        <v>0.7</v>
      </c>
      <c r="D23" s="554">
        <f t="shared" si="0"/>
        <v>0.30000000000000004</v>
      </c>
      <c r="E23" s="561"/>
      <c r="G23" s="99"/>
      <c r="H23" s="381"/>
      <c r="I23" s="381"/>
      <c r="J23" s="381"/>
      <c r="K23" s="381"/>
      <c r="L23" s="381"/>
      <c r="M23" s="82" t="s">
        <v>164</v>
      </c>
      <c r="N23" s="1237">
        <f>N21/(N21+O21)</f>
        <v>0.50054767303688963</v>
      </c>
      <c r="O23" s="1237"/>
      <c r="P23" s="724" t="s">
        <v>184</v>
      </c>
      <c r="Q23" s="87"/>
      <c r="S23">
        <v>1282</v>
      </c>
    </row>
    <row r="24" spans="2:19" x14ac:dyDescent="0.25">
      <c r="B24" s="552" t="s">
        <v>438</v>
      </c>
      <c r="C24" s="901">
        <v>0.6</v>
      </c>
      <c r="D24" s="554">
        <f t="shared" si="0"/>
        <v>0.4</v>
      </c>
      <c r="E24" s="561"/>
      <c r="G24" s="99" t="s">
        <v>165</v>
      </c>
      <c r="H24" s="176">
        <f>2*H15*H5+H12*H15*H8+H11*H15*H7+H17*H19</f>
        <v>4951.6223583550727</v>
      </c>
      <c r="I24" s="381" t="s">
        <v>166</v>
      </c>
      <c r="J24" s="381"/>
      <c r="K24" s="381"/>
      <c r="L24" s="381"/>
      <c r="M24" s="82" t="s">
        <v>167</v>
      </c>
      <c r="N24" s="1232">
        <v>3.6</v>
      </c>
      <c r="O24" s="1232"/>
      <c r="P24" s="724" t="s">
        <v>184</v>
      </c>
      <c r="Q24" s="87"/>
      <c r="S24">
        <v>1124</v>
      </c>
    </row>
    <row r="25" spans="2:19" x14ac:dyDescent="0.25">
      <c r="B25" s="552" t="s">
        <v>441</v>
      </c>
      <c r="C25" s="901">
        <v>0.5</v>
      </c>
      <c r="D25" s="554">
        <f t="shared" si="0"/>
        <v>0.5</v>
      </c>
      <c r="E25" s="561"/>
      <c r="G25" s="99" t="s">
        <v>168</v>
      </c>
      <c r="H25" s="176">
        <f>2*H6*H16+H12*H10*H16+H11*H9*H16+H18*H20</f>
        <v>2957.4863000655905</v>
      </c>
      <c r="I25" s="381" t="s">
        <v>166</v>
      </c>
      <c r="J25" s="381"/>
      <c r="K25" s="381"/>
      <c r="L25" s="381"/>
      <c r="M25" s="82" t="s">
        <v>169</v>
      </c>
      <c r="N25" s="1233">
        <f>(N21+O21)/N24</f>
        <v>1217.6368519453511</v>
      </c>
      <c r="O25" s="1233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901">
        <v>0.4</v>
      </c>
      <c r="D26" s="554">
        <f t="shared" si="0"/>
        <v>0.6</v>
      </c>
      <c r="E26" s="561"/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 t="s">
        <v>665</v>
      </c>
      <c r="C27" s="901">
        <v>0.3</v>
      </c>
      <c r="D27" s="554">
        <f t="shared" si="0"/>
        <v>0.7</v>
      </c>
      <c r="E27" s="564"/>
      <c r="G27" s="262" t="s">
        <v>170</v>
      </c>
      <c r="H27" s="257">
        <f>H24/J13</f>
        <v>22.337731707952329</v>
      </c>
      <c r="I27" s="381" t="s">
        <v>67</v>
      </c>
      <c r="J27" s="82" t="s">
        <v>171</v>
      </c>
      <c r="K27" s="257">
        <f>H27-H28</f>
        <v>13.464160894831412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/>
      <c r="C28" s="563"/>
      <c r="D28" s="381"/>
      <c r="E28" s="564"/>
      <c r="G28" s="262" t="s">
        <v>172</v>
      </c>
      <c r="H28" s="257">
        <f>H25/J14</f>
        <v>8.8735708131209172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902" t="s">
        <v>17</v>
      </c>
      <c r="C29" s="566"/>
      <c r="D29" s="381"/>
      <c r="E29" s="567"/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249</v>
      </c>
      <c r="C30" s="126" t="s">
        <v>439</v>
      </c>
      <c r="D30" s="550" t="s">
        <v>666</v>
      </c>
      <c r="E30" s="561"/>
      <c r="G30" s="99" t="s">
        <v>173</v>
      </c>
      <c r="H30" s="257">
        <f>(H27+H28)/2</f>
        <v>15.605651260536623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435</v>
      </c>
      <c r="C31" s="126">
        <v>1</v>
      </c>
      <c r="D31" s="554">
        <f>1-C31</f>
        <v>0</v>
      </c>
      <c r="E31" s="561"/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437</v>
      </c>
      <c r="C32" s="126">
        <v>0.8</v>
      </c>
      <c r="D32" s="554">
        <f t="shared" ref="D32:D36" si="1">1-C32</f>
        <v>0.19999999999999996</v>
      </c>
      <c r="E32" s="561"/>
      <c r="G32" s="141" t="s">
        <v>174</v>
      </c>
      <c r="H32" s="258">
        <f>N24*H30</f>
        <v>56.180344537931845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13" x14ac:dyDescent="0.25">
      <c r="B33" s="552" t="s">
        <v>436</v>
      </c>
      <c r="C33" s="554">
        <v>0.7</v>
      </c>
      <c r="D33" s="554">
        <f t="shared" si="1"/>
        <v>0.30000000000000004</v>
      </c>
      <c r="E33" s="553"/>
    </row>
    <row r="34" spans="2:13" x14ac:dyDescent="0.25">
      <c r="B34" s="552" t="s">
        <v>438</v>
      </c>
      <c r="C34" s="554">
        <v>0.6</v>
      </c>
      <c r="D34" s="554">
        <f t="shared" si="1"/>
        <v>0.4</v>
      </c>
      <c r="E34" s="556"/>
      <c r="M34" s="774" t="s">
        <v>667</v>
      </c>
    </row>
    <row r="35" spans="2:13" x14ac:dyDescent="0.25">
      <c r="B35" s="552" t="s">
        <v>441</v>
      </c>
      <c r="C35" s="554">
        <v>0.5</v>
      </c>
      <c r="D35" s="554">
        <f t="shared" si="1"/>
        <v>0.5</v>
      </c>
      <c r="E35" s="556"/>
    </row>
    <row r="36" spans="2:13" x14ac:dyDescent="0.25">
      <c r="B36" s="555" t="s">
        <v>442</v>
      </c>
      <c r="C36" s="560">
        <v>0.4</v>
      </c>
      <c r="D36" s="560">
        <f t="shared" si="1"/>
        <v>0.6</v>
      </c>
      <c r="E36" s="557"/>
    </row>
    <row r="37" spans="2:13" x14ac:dyDescent="0.25">
      <c r="D37" s="129"/>
    </row>
  </sheetData>
  <mergeCells count="7">
    <mergeCell ref="G2:Q2"/>
    <mergeCell ref="M4:Q4"/>
    <mergeCell ref="N24:O24"/>
    <mergeCell ref="N25:O25"/>
    <mergeCell ref="G4:I4"/>
    <mergeCell ref="G22:I22"/>
    <mergeCell ref="N23:O23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C3CB-5C09-4254-B43C-C37972E3D450}">
  <sheetPr codeName="Sheet20"/>
  <dimension ref="B1:AG42"/>
  <sheetViews>
    <sheetView showGridLines="0" topLeftCell="A7" zoomScaleNormal="100" workbookViewId="0">
      <selection activeCell="C35" sqref="C35"/>
    </sheetView>
  </sheetViews>
  <sheetFormatPr defaultColWidth="9.140625" defaultRowHeight="15" x14ac:dyDescent="0.25"/>
  <cols>
    <col min="1" max="1" width="3.7109375" customWidth="1"/>
    <col min="3" max="4" width="12.7109375" customWidth="1"/>
    <col min="6" max="6" width="11.42578125" bestFit="1" customWidth="1"/>
    <col min="11" max="11" width="12" bestFit="1" customWidth="1"/>
  </cols>
  <sheetData>
    <row r="1" spans="2:33" ht="15.75" thickBot="1" x14ac:dyDescent="0.3"/>
    <row r="2" spans="2:33" x14ac:dyDescent="0.25">
      <c r="B2" s="1238" t="s">
        <v>109</v>
      </c>
      <c r="C2" s="1239"/>
      <c r="D2" s="1239"/>
      <c r="E2" s="1239"/>
      <c r="F2" s="1239"/>
      <c r="G2" s="1239"/>
      <c r="H2" s="1239"/>
      <c r="I2" s="1239"/>
      <c r="J2" s="1239"/>
      <c r="K2" s="1239"/>
      <c r="L2" s="1239"/>
      <c r="M2" s="1239"/>
      <c r="N2" s="1240"/>
      <c r="O2" s="78"/>
      <c r="P2" s="84" t="s">
        <v>62</v>
      </c>
      <c r="Q2" s="78"/>
      <c r="R2" s="78"/>
      <c r="S2" s="78"/>
      <c r="T2" s="78"/>
      <c r="U2" s="78"/>
      <c r="V2" s="78"/>
      <c r="W2" s="78"/>
      <c r="X2" s="78"/>
      <c r="Y2" s="78"/>
      <c r="Z2" s="1241" t="s">
        <v>115</v>
      </c>
      <c r="AA2" s="1242"/>
      <c r="AC2" s="1243" t="s">
        <v>116</v>
      </c>
      <c r="AD2" s="1244"/>
    </row>
    <row r="3" spans="2:33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O3" s="78"/>
      <c r="P3" s="180" t="s">
        <v>129</v>
      </c>
      <c r="Q3" s="78"/>
      <c r="R3" s="78"/>
      <c r="S3" s="78"/>
      <c r="T3" s="78"/>
      <c r="U3" s="78"/>
      <c r="V3" s="78"/>
      <c r="W3" s="78"/>
      <c r="X3" s="78"/>
      <c r="Y3" s="78"/>
      <c r="Z3" s="596" t="s">
        <v>455</v>
      </c>
      <c r="AA3" s="597" t="s">
        <v>110</v>
      </c>
      <c r="AC3" s="596" t="s">
        <v>455</v>
      </c>
      <c r="AD3" s="597" t="s">
        <v>110</v>
      </c>
    </row>
    <row r="4" spans="2:33" x14ac:dyDescent="0.25">
      <c r="B4" s="99"/>
      <c r="C4" s="86" t="s">
        <v>110</v>
      </c>
      <c r="D4" s="70">
        <v>7500</v>
      </c>
      <c r="E4" s="85"/>
      <c r="F4" s="79" t="s">
        <v>266</v>
      </c>
      <c r="G4" s="80"/>
      <c r="H4" s="80" t="s">
        <v>267</v>
      </c>
      <c r="I4" s="72"/>
      <c r="J4" s="85"/>
      <c r="K4" s="79" t="s">
        <v>266</v>
      </c>
      <c r="L4" s="80"/>
      <c r="M4" s="80" t="s">
        <v>267</v>
      </c>
      <c r="N4" s="143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94">
        <v>0</v>
      </c>
      <c r="AA4" s="382">
        <v>0</v>
      </c>
      <c r="AB4" s="380"/>
      <c r="AC4" s="94">
        <v>0</v>
      </c>
      <c r="AD4" s="382">
        <v>5</v>
      </c>
      <c r="AE4" s="380"/>
      <c r="AG4" s="380"/>
    </row>
    <row r="5" spans="2:33" ht="15.75" thickBot="1" x14ac:dyDescent="0.3">
      <c r="B5" s="99"/>
      <c r="C5" s="141" t="s">
        <v>111</v>
      </c>
      <c r="D5" s="142">
        <v>0.34799999999999998</v>
      </c>
      <c r="E5" s="85"/>
      <c r="F5" s="95">
        <v>23</v>
      </c>
      <c r="G5" s="96">
        <v>21</v>
      </c>
      <c r="H5" s="96">
        <v>13</v>
      </c>
      <c r="I5" s="97">
        <v>43</v>
      </c>
      <c r="J5" s="85"/>
      <c r="K5" s="95">
        <v>23</v>
      </c>
      <c r="L5" s="96">
        <v>21</v>
      </c>
      <c r="M5" s="96">
        <v>13</v>
      </c>
      <c r="N5" s="144">
        <v>43</v>
      </c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173">
        <f>F11</f>
        <v>114.41328831821855</v>
      </c>
      <c r="AA5" s="382">
        <f>$D$4</f>
        <v>7500</v>
      </c>
      <c r="AB5" s="380"/>
      <c r="AC5" s="173">
        <f>K11</f>
        <v>114.41947315460529</v>
      </c>
      <c r="AD5" s="382">
        <f>$D$4</f>
        <v>7500</v>
      </c>
      <c r="AE5" s="380"/>
      <c r="AG5" s="380"/>
    </row>
    <row r="6" spans="2:33" x14ac:dyDescent="0.25">
      <c r="B6" s="99"/>
      <c r="C6" s="85"/>
      <c r="D6" s="85"/>
      <c r="E6" s="85"/>
      <c r="F6" s="85"/>
      <c r="G6" s="82"/>
      <c r="H6" s="85"/>
      <c r="I6" s="85"/>
      <c r="J6" s="85"/>
      <c r="K6" s="85"/>
      <c r="L6" s="85"/>
      <c r="M6" s="85"/>
      <c r="N6" s="87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173">
        <f>F11</f>
        <v>114.41328831821855</v>
      </c>
      <c r="AA6" s="598">
        <f>G12</f>
        <v>5797.2972972972984</v>
      </c>
      <c r="AB6" s="453"/>
      <c r="AC6" s="173">
        <f>K11</f>
        <v>114.41947315460529</v>
      </c>
      <c r="AD6" s="598">
        <f>L12</f>
        <v>5797.6106816584697</v>
      </c>
      <c r="AE6" s="453"/>
      <c r="AG6" s="453"/>
    </row>
    <row r="7" spans="2:33" x14ac:dyDescent="0.25">
      <c r="B7" s="99"/>
      <c r="C7" s="85"/>
      <c r="D7" s="85"/>
      <c r="E7" s="85"/>
      <c r="F7" s="85"/>
      <c r="G7" s="82" t="s">
        <v>117</v>
      </c>
      <c r="H7" s="85"/>
      <c r="I7" s="163">
        <f>I5*G5/H5/F5</f>
        <v>3.0200668896321075</v>
      </c>
      <c r="J7" s="85"/>
      <c r="K7" s="85"/>
      <c r="L7" s="82" t="s">
        <v>117</v>
      </c>
      <c r="M7" s="85"/>
      <c r="N7" s="146">
        <f>N5*L5/M5/K5</f>
        <v>3.0200668896321075</v>
      </c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173">
        <f>F12</f>
        <v>148.01719118091208</v>
      </c>
      <c r="AA7" s="382">
        <f>$D$4</f>
        <v>7500</v>
      </c>
      <c r="AB7" s="380"/>
      <c r="AC7" s="173">
        <f>K12</f>
        <v>148.01719118091208</v>
      </c>
      <c r="AD7" s="382">
        <f>$D$4</f>
        <v>7500</v>
      </c>
      <c r="AE7" s="380"/>
      <c r="AG7" s="380"/>
    </row>
    <row r="8" spans="2:33" x14ac:dyDescent="0.25">
      <c r="B8" s="99"/>
      <c r="C8" s="85"/>
      <c r="D8" s="85"/>
      <c r="E8" s="85"/>
      <c r="F8" s="85"/>
      <c r="G8" s="85"/>
      <c r="H8" s="85"/>
      <c r="I8" s="85">
        <f>1/I7</f>
        <v>0.33111849390919151</v>
      </c>
      <c r="J8" s="85"/>
      <c r="K8" s="85"/>
      <c r="L8" s="85"/>
      <c r="M8" s="85"/>
      <c r="N8" s="87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173">
        <f>F12</f>
        <v>148.01719118091208</v>
      </c>
      <c r="AA8" s="598">
        <f>G13</f>
        <v>6136.3636363636351</v>
      </c>
      <c r="AB8" s="453"/>
      <c r="AC8" s="173">
        <f>K12</f>
        <v>148.01719118091208</v>
      </c>
      <c r="AD8" s="598">
        <f>L13</f>
        <v>6136.3636363636351</v>
      </c>
      <c r="AE8" s="453"/>
      <c r="AG8" s="453"/>
    </row>
    <row r="9" spans="2:33" x14ac:dyDescent="0.25">
      <c r="B9" s="99"/>
      <c r="C9" s="85"/>
      <c r="D9" s="85"/>
      <c r="E9" s="85"/>
      <c r="F9" s="85"/>
      <c r="G9" s="85"/>
      <c r="H9" s="85"/>
      <c r="J9" s="85"/>
      <c r="K9" s="85"/>
      <c r="L9" s="85"/>
      <c r="M9" s="85"/>
      <c r="N9" s="87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173">
        <f>F13</f>
        <v>180.9099003322259</v>
      </c>
      <c r="AA9" s="382">
        <f>$D$4</f>
        <v>7500</v>
      </c>
      <c r="AB9" s="380"/>
      <c r="AC9" s="173">
        <f>K13</f>
        <v>180.9099003322259</v>
      </c>
      <c r="AD9" s="382">
        <f>$D$4</f>
        <v>7500</v>
      </c>
      <c r="AE9" s="380"/>
      <c r="AG9" s="380"/>
    </row>
    <row r="10" spans="2:33" x14ac:dyDescent="0.25">
      <c r="B10" s="358" t="s">
        <v>265</v>
      </c>
      <c r="C10" s="359" t="s">
        <v>115</v>
      </c>
      <c r="D10" s="360" t="s">
        <v>116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116</v>
      </c>
      <c r="L10" s="362" t="s">
        <v>112</v>
      </c>
      <c r="M10" s="362" t="s">
        <v>113</v>
      </c>
      <c r="N10" s="363" t="s">
        <v>114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173">
        <f>F13</f>
        <v>180.9099003322259</v>
      </c>
      <c r="AA10" s="598">
        <f>G14</f>
        <v>6140.350877192981</v>
      </c>
      <c r="AB10" s="453"/>
      <c r="AC10" s="173">
        <f>K13</f>
        <v>180.9099003322259</v>
      </c>
      <c r="AD10" s="598">
        <f>L14</f>
        <v>6370.8333333333321</v>
      </c>
      <c r="AE10" s="453"/>
      <c r="AG10" s="453"/>
    </row>
    <row r="11" spans="2:33" x14ac:dyDescent="0.25">
      <c r="B11" s="99">
        <v>1</v>
      </c>
      <c r="C11" s="165">
        <v>2.8461538461538463</v>
      </c>
      <c r="D11" s="166">
        <v>2.8460000000000001</v>
      </c>
      <c r="E11" s="163">
        <f>1/D11</f>
        <v>0.35137034434293746</v>
      </c>
      <c r="F11" s="157">
        <f t="shared" ref="F11:F17" si="0">$D$4/60*6.28/(C11*$N$5/$M$5*$L$5/$K$5)*$D$5*3.6</f>
        <v>114.41328831821855</v>
      </c>
      <c r="G11" s="147"/>
      <c r="H11" s="147"/>
      <c r="I11" s="74"/>
      <c r="J11" s="85"/>
      <c r="K11" s="155">
        <f t="shared" ref="K11:K17" si="1">$D$4/60*6.28/(D11*$I$5/$H$5*$G$5/$F$5)*$D$5*3.6</f>
        <v>114.41947315460529</v>
      </c>
      <c r="L11" s="147"/>
      <c r="M11" s="147"/>
      <c r="N11" s="149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173">
        <f>F14</f>
        <v>220.96852112007596</v>
      </c>
      <c r="AA11" s="382">
        <f>$D$4</f>
        <v>7500</v>
      </c>
      <c r="AB11" s="380"/>
      <c r="AC11" s="173">
        <f>K14</f>
        <v>212.97437579987354</v>
      </c>
      <c r="AD11" s="382">
        <f>$D$4</f>
        <v>7500</v>
      </c>
      <c r="AE11" s="380"/>
      <c r="AG11" s="380"/>
    </row>
    <row r="12" spans="2:33" x14ac:dyDescent="0.25">
      <c r="B12" s="99">
        <v>2</v>
      </c>
      <c r="C12" s="165">
        <v>2.2000000000000002</v>
      </c>
      <c r="D12" s="167">
        <v>2.2000000000000002</v>
      </c>
      <c r="E12" s="163">
        <f t="shared" ref="E12:E17" si="2">1/D12</f>
        <v>0.45454545454545453</v>
      </c>
      <c r="F12" s="157">
        <f t="shared" si="0"/>
        <v>148.01719118091208</v>
      </c>
      <c r="G12" s="159">
        <f t="shared" ref="G12:G17" si="3">F11/F12*$D$4</f>
        <v>5797.2972972972984</v>
      </c>
      <c r="H12" s="148">
        <f t="shared" ref="H12:H17" si="4">$D$4-G12</f>
        <v>1702.7027027027016</v>
      </c>
      <c r="I12" s="150">
        <f t="shared" ref="I12:I17" si="5">F12-F11</f>
        <v>33.603902862693531</v>
      </c>
      <c r="J12" s="85"/>
      <c r="K12" s="155">
        <f t="shared" si="1"/>
        <v>148.01719118091208</v>
      </c>
      <c r="L12" s="148">
        <f t="shared" ref="L12:L17" si="6">K11/K12*$D$4</f>
        <v>5797.6106816584697</v>
      </c>
      <c r="M12" s="148">
        <f t="shared" ref="M12:M17" si="7">$D$4-L12</f>
        <v>1702.3893183415303</v>
      </c>
      <c r="N12" s="151">
        <f t="shared" ref="N12:N17" si="8">K12-K11</f>
        <v>33.597718026306794</v>
      </c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173">
        <f>F14</f>
        <v>220.96852112007596</v>
      </c>
      <c r="AA12" s="598">
        <f>G15</f>
        <v>6301.0204081632673</v>
      </c>
      <c r="AB12" s="453"/>
      <c r="AC12" s="173">
        <f>K14</f>
        <v>212.97437579987354</v>
      </c>
      <c r="AD12" s="598">
        <f>L15</f>
        <v>6455.1994767822116</v>
      </c>
      <c r="AE12" s="453"/>
      <c r="AG12" s="453"/>
    </row>
    <row r="13" spans="2:33" x14ac:dyDescent="0.25">
      <c r="B13" s="99">
        <v>3</v>
      </c>
      <c r="C13" s="165">
        <v>1.8</v>
      </c>
      <c r="D13" s="167">
        <v>1.8</v>
      </c>
      <c r="E13" s="163">
        <f t="shared" si="2"/>
        <v>0.55555555555555558</v>
      </c>
      <c r="F13" s="157">
        <f t="shared" si="0"/>
        <v>180.9099003322259</v>
      </c>
      <c r="G13" s="159">
        <f t="shared" si="3"/>
        <v>6136.3636363636351</v>
      </c>
      <c r="H13" s="148">
        <f t="shared" si="4"/>
        <v>1363.6363636363649</v>
      </c>
      <c r="I13" s="150">
        <f t="shared" si="5"/>
        <v>32.892709151313824</v>
      </c>
      <c r="J13" s="85"/>
      <c r="K13" s="155">
        <f t="shared" si="1"/>
        <v>180.9099003322259</v>
      </c>
      <c r="L13" s="148">
        <f t="shared" si="6"/>
        <v>6136.3636363636351</v>
      </c>
      <c r="M13" s="148">
        <f t="shared" si="7"/>
        <v>1363.6363636363649</v>
      </c>
      <c r="N13" s="151">
        <f t="shared" si="8"/>
        <v>32.892709151313824</v>
      </c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173">
        <f>F15</f>
        <v>263.01516279069762</v>
      </c>
      <c r="AA13" s="382">
        <f>$D$4</f>
        <v>7500</v>
      </c>
      <c r="AB13" s="380"/>
      <c r="AC13" s="173">
        <f>K15</f>
        <v>247.44515243009619</v>
      </c>
      <c r="AD13" s="382">
        <f>$D$4</f>
        <v>7500</v>
      </c>
      <c r="AE13" s="380"/>
      <c r="AG13" s="380"/>
    </row>
    <row r="14" spans="2:33" x14ac:dyDescent="0.25">
      <c r="B14" s="99">
        <v>4</v>
      </c>
      <c r="C14" s="165">
        <v>1.4736842105263157</v>
      </c>
      <c r="D14" s="167">
        <v>1.5289999999999999</v>
      </c>
      <c r="E14" s="163">
        <f t="shared" si="2"/>
        <v>0.65402223675604976</v>
      </c>
      <c r="F14" s="157">
        <f t="shared" si="0"/>
        <v>220.96852112007596</v>
      </c>
      <c r="G14" s="159">
        <f t="shared" si="3"/>
        <v>6140.350877192981</v>
      </c>
      <c r="H14" s="148">
        <f t="shared" si="4"/>
        <v>1359.649122807019</v>
      </c>
      <c r="I14" s="150">
        <f t="shared" si="5"/>
        <v>40.05862078785006</v>
      </c>
      <c r="J14" s="85"/>
      <c r="K14" s="155">
        <f t="shared" si="1"/>
        <v>212.97437579987354</v>
      </c>
      <c r="L14" s="148">
        <f t="shared" si="6"/>
        <v>6370.8333333333321</v>
      </c>
      <c r="M14" s="148">
        <f t="shared" si="7"/>
        <v>1129.1666666666679</v>
      </c>
      <c r="N14" s="151">
        <f t="shared" si="8"/>
        <v>32.06447546764764</v>
      </c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173">
        <f>F15</f>
        <v>263.01516279069762</v>
      </c>
      <c r="AA14" s="598">
        <f>G16</f>
        <v>6584.4481605351157</v>
      </c>
      <c r="AB14" s="453"/>
      <c r="AC14" s="173">
        <f>K15</f>
        <v>247.44515243009619</v>
      </c>
      <c r="AD14" s="598">
        <f>L16</f>
        <v>6553.9513677811547</v>
      </c>
      <c r="AE14" s="453"/>
      <c r="AG14" s="453"/>
    </row>
    <row r="15" spans="2:33" x14ac:dyDescent="0.25">
      <c r="B15" s="99">
        <v>5</v>
      </c>
      <c r="C15" s="165">
        <v>1.2380952380952381</v>
      </c>
      <c r="D15" s="167">
        <v>1.3160000000000001</v>
      </c>
      <c r="E15" s="163">
        <f t="shared" si="2"/>
        <v>0.75987841945288748</v>
      </c>
      <c r="F15" s="157">
        <f t="shared" si="0"/>
        <v>263.01516279069762</v>
      </c>
      <c r="G15" s="159">
        <f t="shared" si="3"/>
        <v>6301.0204081632673</v>
      </c>
      <c r="H15" s="148">
        <f t="shared" si="4"/>
        <v>1198.9795918367327</v>
      </c>
      <c r="I15" s="150">
        <f t="shared" si="5"/>
        <v>42.046641670621653</v>
      </c>
      <c r="J15" s="85"/>
      <c r="K15" s="155">
        <f t="shared" si="1"/>
        <v>247.44515243009619</v>
      </c>
      <c r="L15" s="148">
        <f t="shared" si="6"/>
        <v>6455.1994767822116</v>
      </c>
      <c r="M15" s="148">
        <f t="shared" si="7"/>
        <v>1044.8005232177884</v>
      </c>
      <c r="N15" s="151">
        <f t="shared" si="8"/>
        <v>34.470776630222645</v>
      </c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173">
        <f>F16</f>
        <v>299.58679495016611</v>
      </c>
      <c r="AA15" s="382">
        <f>$D$4</f>
        <v>7500</v>
      </c>
      <c r="AB15" s="380"/>
      <c r="AC15" s="173">
        <f>K16</f>
        <v>283.16332225913618</v>
      </c>
      <c r="AD15" s="382">
        <f>$D$4</f>
        <v>7500</v>
      </c>
      <c r="AE15" s="380"/>
      <c r="AG15" s="380"/>
    </row>
    <row r="16" spans="2:33" x14ac:dyDescent="0.25">
      <c r="B16" s="99">
        <v>6</v>
      </c>
      <c r="C16" s="165">
        <v>1.0869565217391304</v>
      </c>
      <c r="D16" s="167">
        <v>1.1499999999999999</v>
      </c>
      <c r="E16" s="163">
        <f t="shared" si="2"/>
        <v>0.86956521739130443</v>
      </c>
      <c r="F16" s="157">
        <f t="shared" si="0"/>
        <v>299.58679495016611</v>
      </c>
      <c r="G16" s="159">
        <f t="shared" si="3"/>
        <v>6584.4481605351157</v>
      </c>
      <c r="H16" s="148">
        <f t="shared" si="4"/>
        <v>915.55183946488432</v>
      </c>
      <c r="I16" s="150">
        <f t="shared" si="5"/>
        <v>36.571632159468493</v>
      </c>
      <c r="J16" s="85"/>
      <c r="K16" s="155">
        <f t="shared" si="1"/>
        <v>283.16332225913618</v>
      </c>
      <c r="L16" s="148">
        <f t="shared" si="6"/>
        <v>6553.9513677811547</v>
      </c>
      <c r="M16" s="148">
        <f t="shared" si="7"/>
        <v>946.04863221884534</v>
      </c>
      <c r="N16" s="151">
        <f t="shared" si="8"/>
        <v>35.718169829039994</v>
      </c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173">
        <f>F16</f>
        <v>299.58679495016611</v>
      </c>
      <c r="AA16" s="598">
        <f>G17</f>
        <v>6612.5000000000009</v>
      </c>
      <c r="AB16" s="453"/>
      <c r="AC16" s="173">
        <f>K16</f>
        <v>283.16332225913618</v>
      </c>
      <c r="AD16" s="598">
        <f>L17</f>
        <v>6521.7391304347821</v>
      </c>
      <c r="AE16" s="453"/>
      <c r="AG16" s="453"/>
    </row>
    <row r="17" spans="2:33" ht="15.75" thickBot="1" x14ac:dyDescent="0.3">
      <c r="B17" s="100">
        <v>7</v>
      </c>
      <c r="C17" s="161">
        <v>0.95833333333333337</v>
      </c>
      <c r="D17" s="162">
        <v>1</v>
      </c>
      <c r="E17" s="163">
        <f t="shared" si="2"/>
        <v>1</v>
      </c>
      <c r="F17" s="158">
        <f t="shared" si="0"/>
        <v>339.7959867109634</v>
      </c>
      <c r="G17" s="160">
        <f t="shared" si="3"/>
        <v>6612.5000000000009</v>
      </c>
      <c r="H17" s="152">
        <f t="shared" si="4"/>
        <v>887.49999999999909</v>
      </c>
      <c r="I17" s="153">
        <f t="shared" si="5"/>
        <v>40.209191760797296</v>
      </c>
      <c r="J17" s="88"/>
      <c r="K17" s="156">
        <f t="shared" si="1"/>
        <v>325.63782059800661</v>
      </c>
      <c r="L17" s="152">
        <f t="shared" si="6"/>
        <v>6521.7391304347821</v>
      </c>
      <c r="M17" s="152">
        <f t="shared" si="7"/>
        <v>978.26086956521794</v>
      </c>
      <c r="N17" s="154">
        <f t="shared" si="8"/>
        <v>42.474498338870433</v>
      </c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599">
        <f>F17</f>
        <v>339.7959867109634</v>
      </c>
      <c r="AA17" s="97">
        <f>$D$4</f>
        <v>7500</v>
      </c>
      <c r="AB17" s="380"/>
      <c r="AC17" s="599">
        <f>K17</f>
        <v>325.63782059800661</v>
      </c>
      <c r="AD17" s="97">
        <f>$D$4</f>
        <v>7500</v>
      </c>
      <c r="AE17" s="380"/>
      <c r="AG17" s="380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453"/>
      <c r="AB18" s="453"/>
      <c r="AC18" s="453"/>
      <c r="AD18" s="453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</row>
    <row r="32" spans="2:33" x14ac:dyDescent="0.25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</row>
    <row r="33" spans="2:25" x14ac:dyDescent="0.25"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</row>
    <row r="34" spans="2:25" x14ac:dyDescent="0.25">
      <c r="C34" s="1047" t="s">
        <v>817</v>
      </c>
      <c r="D34" s="1047" t="s">
        <v>818</v>
      </c>
    </row>
    <row r="35" spans="2:25" x14ac:dyDescent="0.25">
      <c r="C35" s="1048">
        <f>1/C11</f>
        <v>0.35135135135135132</v>
      </c>
      <c r="D35" s="1048">
        <f>1/D11</f>
        <v>0.35137034434293746</v>
      </c>
    </row>
    <row r="36" spans="2:25" x14ac:dyDescent="0.25">
      <c r="C36" s="1048">
        <f t="shared" ref="C36:D41" si="9">1/C12</f>
        <v>0.45454545454545453</v>
      </c>
      <c r="D36" s="1048">
        <f t="shared" si="9"/>
        <v>0.45454545454545453</v>
      </c>
    </row>
    <row r="37" spans="2:25" x14ac:dyDescent="0.25">
      <c r="C37" s="1048">
        <f t="shared" si="9"/>
        <v>0.55555555555555558</v>
      </c>
      <c r="D37" s="1048">
        <f t="shared" si="9"/>
        <v>0.55555555555555558</v>
      </c>
    </row>
    <row r="38" spans="2:25" x14ac:dyDescent="0.25">
      <c r="C38" s="1048">
        <f t="shared" si="9"/>
        <v>0.6785714285714286</v>
      </c>
      <c r="D38" s="1048">
        <f t="shared" si="9"/>
        <v>0.65402223675604976</v>
      </c>
    </row>
    <row r="39" spans="2:25" x14ac:dyDescent="0.25">
      <c r="C39" s="1048">
        <f t="shared" si="9"/>
        <v>0.80769230769230771</v>
      </c>
      <c r="D39" s="1048">
        <f t="shared" si="9"/>
        <v>0.75987841945288748</v>
      </c>
    </row>
    <row r="40" spans="2:25" x14ac:dyDescent="0.25">
      <c r="C40" s="1048">
        <f t="shared" si="9"/>
        <v>0.92</v>
      </c>
      <c r="D40" s="1048">
        <f t="shared" si="9"/>
        <v>0.86956521739130443</v>
      </c>
    </row>
    <row r="41" spans="2:25" x14ac:dyDescent="0.25">
      <c r="C41" s="1048">
        <f t="shared" si="9"/>
        <v>1.0434782608695652</v>
      </c>
      <c r="D41" s="1048">
        <f t="shared" si="9"/>
        <v>1</v>
      </c>
    </row>
    <row r="42" spans="2:25" x14ac:dyDescent="0.25">
      <c r="C42" s="380"/>
    </row>
  </sheetData>
  <mergeCells count="3">
    <mergeCell ref="B2:N2"/>
    <mergeCell ref="Z2:AA2"/>
    <mergeCell ref="AC2:AD2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AE29-001E-4F8A-88A9-1E0A5CF5F0C2}">
  <sheetPr codeName="Sheet21"/>
  <dimension ref="B2:AW68"/>
  <sheetViews>
    <sheetView showGridLines="0" zoomScaleNormal="100" workbookViewId="0">
      <selection activeCell="F10" sqref="F10"/>
    </sheetView>
  </sheetViews>
  <sheetFormatPr defaultColWidth="9.140625" defaultRowHeight="15" x14ac:dyDescent="0.25"/>
  <cols>
    <col min="1" max="1" width="3.7109375" customWidth="1"/>
    <col min="2" max="2" width="15.28515625" style="71" customWidth="1"/>
    <col min="3" max="3" width="14.28515625" style="71" customWidth="1"/>
    <col min="4" max="9" width="9.140625" style="71"/>
    <col min="10" max="10" width="10.85546875" customWidth="1"/>
    <col min="26" max="26" width="18.7109375" customWidth="1"/>
    <col min="27" max="27" width="13.28515625" customWidth="1"/>
  </cols>
  <sheetData>
    <row r="2" spans="2:32" s="78" customFormat="1" x14ac:dyDescent="0.25">
      <c r="B2" s="169" t="s">
        <v>118</v>
      </c>
      <c r="C2" s="170"/>
      <c r="D2" s="71"/>
      <c r="E2" s="71"/>
      <c r="F2" s="71"/>
      <c r="G2" s="71"/>
      <c r="H2" s="71"/>
      <c r="I2" s="71"/>
    </row>
    <row r="3" spans="2:32" s="78" customFormat="1" ht="15.75" thickBot="1" x14ac:dyDescent="0.3">
      <c r="B3" s="71"/>
      <c r="C3" s="71"/>
      <c r="D3" s="71"/>
      <c r="E3" s="71"/>
      <c r="F3" s="71"/>
      <c r="G3" s="71"/>
      <c r="H3" s="71"/>
      <c r="I3" s="71"/>
      <c r="V3" s="84" t="s">
        <v>119</v>
      </c>
    </row>
    <row r="4" spans="2:32" x14ac:dyDescent="0.25">
      <c r="B4" s="134" t="s">
        <v>94</v>
      </c>
      <c r="C4" s="102" t="s">
        <v>42</v>
      </c>
      <c r="D4" s="102" t="s">
        <v>43</v>
      </c>
      <c r="E4" s="102" t="s">
        <v>95</v>
      </c>
      <c r="F4" s="102" t="s">
        <v>96</v>
      </c>
      <c r="G4" s="102" t="s">
        <v>97</v>
      </c>
      <c r="H4" s="102" t="s">
        <v>98</v>
      </c>
      <c r="I4" s="103" t="s">
        <v>99</v>
      </c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89"/>
      <c r="AB4" s="78"/>
    </row>
    <row r="5" spans="2:32" x14ac:dyDescent="0.25">
      <c r="B5" s="135">
        <v>1</v>
      </c>
      <c r="C5" s="104">
        <v>60</v>
      </c>
      <c r="D5" s="104">
        <v>30</v>
      </c>
      <c r="E5" s="104">
        <v>12</v>
      </c>
      <c r="F5" s="105">
        <f>H5/$C$36</f>
        <v>0.11789600967351875</v>
      </c>
      <c r="G5" s="105">
        <f>I5/$C$36</f>
        <v>0.35973397823458281</v>
      </c>
      <c r="H5" s="106">
        <v>0.39</v>
      </c>
      <c r="I5" s="107">
        <v>1.19</v>
      </c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84" t="s">
        <v>100</v>
      </c>
      <c r="AA5" s="101">
        <v>5</v>
      </c>
      <c r="AB5" s="78"/>
    </row>
    <row r="6" spans="2:32" x14ac:dyDescent="0.25">
      <c r="B6" s="135">
        <v>2</v>
      </c>
      <c r="C6" s="104">
        <v>60</v>
      </c>
      <c r="D6" s="104">
        <v>30</v>
      </c>
      <c r="E6" s="104">
        <v>8</v>
      </c>
      <c r="F6" s="105">
        <f>H6/$C$36</f>
        <v>7.8597339782345829E-2</v>
      </c>
      <c r="G6" s="105">
        <f>I6/$C$36</f>
        <v>0.23881499395405081</v>
      </c>
      <c r="H6" s="108">
        <v>0.26</v>
      </c>
      <c r="I6" s="109">
        <v>0.79</v>
      </c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 t="s">
        <v>101</v>
      </c>
      <c r="AA6" s="89" t="s">
        <v>102</v>
      </c>
      <c r="AB6" s="78"/>
    </row>
    <row r="7" spans="2:32" x14ac:dyDescent="0.25">
      <c r="B7" s="136">
        <v>3</v>
      </c>
      <c r="C7" s="110"/>
      <c r="D7" s="110"/>
      <c r="E7" s="110"/>
      <c r="F7" s="111"/>
      <c r="G7" s="111"/>
      <c r="H7" s="112"/>
      <c r="I7" s="113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89"/>
      <c r="AB7" s="78"/>
    </row>
    <row r="8" spans="2:32" x14ac:dyDescent="0.25">
      <c r="B8" s="136">
        <v>4</v>
      </c>
      <c r="C8" s="110"/>
      <c r="D8" s="110"/>
      <c r="E8" s="110"/>
      <c r="F8" s="111"/>
      <c r="G8" s="111"/>
      <c r="H8" s="112"/>
      <c r="I8" s="113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98" t="s">
        <v>103</v>
      </c>
      <c r="AA8" s="89"/>
      <c r="AB8" s="78"/>
    </row>
    <row r="9" spans="2:32" x14ac:dyDescent="0.25">
      <c r="B9" s="137">
        <v>5</v>
      </c>
      <c r="C9" s="114">
        <v>45</v>
      </c>
      <c r="D9" s="114">
        <v>30</v>
      </c>
      <c r="E9" s="114">
        <v>12</v>
      </c>
      <c r="F9" s="115">
        <f>H9/$C$36</f>
        <v>0.21160822249093109</v>
      </c>
      <c r="G9" s="115">
        <f>I9/$C$36</f>
        <v>0.35973397823458281</v>
      </c>
      <c r="H9" s="116">
        <v>0.7</v>
      </c>
      <c r="I9" s="117">
        <v>1.19</v>
      </c>
      <c r="J9" s="98" t="s">
        <v>104</v>
      </c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89" t="s">
        <v>105</v>
      </c>
      <c r="AB9" s="78"/>
    </row>
    <row r="10" spans="2:32" x14ac:dyDescent="0.25">
      <c r="B10" s="138">
        <v>6</v>
      </c>
      <c r="C10" s="118">
        <v>45</v>
      </c>
      <c r="D10" s="118">
        <v>30</v>
      </c>
      <c r="E10" s="118">
        <v>8</v>
      </c>
      <c r="F10" s="119">
        <f>H10/$C$36</f>
        <v>0.13905683192261187</v>
      </c>
      <c r="G10" s="119">
        <f>I10/$C$36</f>
        <v>0.23881499395405081</v>
      </c>
      <c r="H10" s="120">
        <v>0.46</v>
      </c>
      <c r="I10" s="121">
        <v>0.79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89" t="s">
        <v>106</v>
      </c>
      <c r="AB10" s="78"/>
    </row>
    <row r="11" spans="2:32" x14ac:dyDescent="0.25">
      <c r="B11" s="139">
        <v>7</v>
      </c>
      <c r="C11" s="122"/>
      <c r="D11" s="122"/>
      <c r="E11" s="122"/>
      <c r="F11" s="123"/>
      <c r="G11" s="123"/>
      <c r="H11" s="124"/>
      <c r="I11" s="125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89"/>
      <c r="AB11" s="78"/>
    </row>
    <row r="12" spans="2:32" x14ac:dyDescent="0.25">
      <c r="B12" s="139">
        <v>8</v>
      </c>
      <c r="C12" s="122"/>
      <c r="D12" s="122"/>
      <c r="E12" s="122"/>
      <c r="F12" s="123"/>
      <c r="G12" s="123"/>
      <c r="H12" s="124"/>
      <c r="I12" s="125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89"/>
      <c r="AB12" s="78"/>
    </row>
    <row r="13" spans="2:32" x14ac:dyDescent="0.25">
      <c r="B13" s="90">
        <v>9</v>
      </c>
      <c r="F13" s="126"/>
      <c r="G13" s="126"/>
      <c r="H13" s="127"/>
      <c r="I13" s="12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89"/>
      <c r="AB13" s="78"/>
    </row>
    <row r="14" spans="2:32" x14ac:dyDescent="0.25">
      <c r="B14" s="90">
        <v>10</v>
      </c>
      <c r="F14" s="126"/>
      <c r="G14" s="126"/>
      <c r="H14" s="127"/>
      <c r="I14" s="12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614" t="s">
        <v>461</v>
      </c>
      <c r="AA14" s="172"/>
      <c r="AB14" s="172"/>
      <c r="AC14" s="172"/>
      <c r="AD14" s="172"/>
      <c r="AE14" s="172"/>
      <c r="AF14" s="72"/>
    </row>
    <row r="15" spans="2:32" x14ac:dyDescent="0.25">
      <c r="B15" s="90">
        <v>11</v>
      </c>
      <c r="F15" s="126"/>
      <c r="G15" s="126"/>
      <c r="H15" s="127"/>
      <c r="I15" s="12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94" t="s">
        <v>459</v>
      </c>
      <c r="AA15" s="615" t="s">
        <v>462</v>
      </c>
      <c r="AB15" s="381"/>
      <c r="AC15" s="381"/>
      <c r="AD15" s="381"/>
      <c r="AE15" s="381"/>
      <c r="AF15" s="382"/>
    </row>
    <row r="16" spans="2:32" x14ac:dyDescent="0.25">
      <c r="B16" s="90">
        <v>12</v>
      </c>
      <c r="F16" s="126"/>
      <c r="G16" s="126"/>
      <c r="H16" s="127"/>
      <c r="I16" s="12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94"/>
      <c r="AA16" s="391" t="s">
        <v>467</v>
      </c>
      <c r="AB16" s="381"/>
      <c r="AC16" s="381"/>
      <c r="AD16" s="381"/>
      <c r="AE16" s="381"/>
      <c r="AF16" s="382"/>
    </row>
    <row r="17" spans="2:49" x14ac:dyDescent="0.25">
      <c r="B17" s="90">
        <v>13</v>
      </c>
      <c r="C17" s="71">
        <v>35</v>
      </c>
      <c r="D17" s="71">
        <v>25</v>
      </c>
      <c r="E17" s="71">
        <v>12</v>
      </c>
      <c r="F17" s="126">
        <f>H17/$C$36</f>
        <v>0.30229746070133012</v>
      </c>
      <c r="G17" s="126">
        <f>I17/$C$36</f>
        <v>0.41717049576783555</v>
      </c>
      <c r="H17" s="127">
        <v>1</v>
      </c>
      <c r="I17" s="128">
        <v>1.38</v>
      </c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94"/>
      <c r="AA17" s="615" t="s">
        <v>123</v>
      </c>
      <c r="AB17" s="616">
        <v>-30</v>
      </c>
      <c r="AC17" s="616">
        <v>-1</v>
      </c>
      <c r="AD17" s="616">
        <v>0</v>
      </c>
      <c r="AE17" s="616">
        <v>1</v>
      </c>
      <c r="AF17" s="617">
        <v>30</v>
      </c>
    </row>
    <row r="18" spans="2:49" x14ac:dyDescent="0.25">
      <c r="B18" s="90">
        <v>14</v>
      </c>
      <c r="C18" s="71">
        <v>35</v>
      </c>
      <c r="D18" s="71">
        <v>25</v>
      </c>
      <c r="E18" s="71">
        <v>8</v>
      </c>
      <c r="F18" s="126">
        <f>H18/$C$36</f>
        <v>0.19951632406287789</v>
      </c>
      <c r="G18" s="126">
        <f>I18/$C$36</f>
        <v>0.2750906892382104</v>
      </c>
      <c r="H18" s="127">
        <v>0.66</v>
      </c>
      <c r="I18" s="128">
        <v>0.91</v>
      </c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81" t="s">
        <v>460</v>
      </c>
      <c r="AA18" s="618">
        <v>-10000</v>
      </c>
      <c r="AB18" s="176">
        <f>$AD18+AB$20</f>
        <v>3863.4407850638277</v>
      </c>
      <c r="AC18" s="176">
        <f>$AD18+AC$20</f>
        <v>3647.4960000000001</v>
      </c>
      <c r="AD18" s="253">
        <v>3600</v>
      </c>
      <c r="AE18" s="176">
        <f>$AD18+AE$20</f>
        <v>3647.4960000000001</v>
      </c>
      <c r="AF18" s="598">
        <f>$AD18+AF$20</f>
        <v>3863.4407850638277</v>
      </c>
    </row>
    <row r="19" spans="2:49" x14ac:dyDescent="0.25">
      <c r="B19" s="90"/>
      <c r="I19" s="12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94" t="s">
        <v>125</v>
      </c>
      <c r="AA19" s="619">
        <v>-100</v>
      </c>
      <c r="AB19" s="176">
        <f>$AD19+AB$20</f>
        <v>299.44078506382766</v>
      </c>
      <c r="AC19" s="176">
        <f>$AD19+AC$20</f>
        <v>83.496000000000009</v>
      </c>
      <c r="AD19" s="253">
        <v>36</v>
      </c>
      <c r="AE19" s="176">
        <f>$AD19+AE$20</f>
        <v>83.496000000000009</v>
      </c>
      <c r="AF19" s="598">
        <f>$AD19+AF$20</f>
        <v>299.44078506382766</v>
      </c>
    </row>
    <row r="20" spans="2:49" x14ac:dyDescent="0.25">
      <c r="B20" s="140" t="s">
        <v>107</v>
      </c>
      <c r="I20" s="12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94"/>
      <c r="AA20" s="619">
        <v>0</v>
      </c>
      <c r="AB20" s="259">
        <f>47.496*ABS(AB$17)^0.5037</f>
        <v>263.44078506382766</v>
      </c>
      <c r="AC20" s="259">
        <f>47.496*ABS(AC$17)^0.5037</f>
        <v>47.496000000000002</v>
      </c>
      <c r="AD20" s="253">
        <v>0</v>
      </c>
      <c r="AE20" s="259">
        <f>47.496*ABS(AE$17)^0.5037</f>
        <v>47.496000000000002</v>
      </c>
      <c r="AF20" s="620">
        <f>47.496*AF$17^0.5037</f>
        <v>263.44078506382766</v>
      </c>
    </row>
    <row r="21" spans="2:49" x14ac:dyDescent="0.25">
      <c r="B21" s="135">
        <f>B18+1</f>
        <v>15</v>
      </c>
      <c r="C21" s="104">
        <f>D5</f>
        <v>30</v>
      </c>
      <c r="D21" s="104">
        <f>C5</f>
        <v>60</v>
      </c>
      <c r="E21" s="104">
        <f>E5</f>
        <v>12</v>
      </c>
      <c r="F21" s="105">
        <f>H21/$C$36</f>
        <v>0.35973397823458281</v>
      </c>
      <c r="G21" s="105">
        <f>I21/$C$36</f>
        <v>0.11789600967351875</v>
      </c>
      <c r="H21" s="106">
        <f>I5</f>
        <v>1.19</v>
      </c>
      <c r="I21" s="107">
        <f>H5</f>
        <v>0.39</v>
      </c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94"/>
      <c r="AA21" s="619">
        <v>100</v>
      </c>
      <c r="AB21" s="176">
        <f>$AD21+AB$20</f>
        <v>284.44078506382766</v>
      </c>
      <c r="AC21" s="176">
        <f>$AD21+AC$20</f>
        <v>68.496000000000009</v>
      </c>
      <c r="AD21" s="259">
        <v>21</v>
      </c>
      <c r="AE21" s="176">
        <f>$AD21+AE$20</f>
        <v>68.496000000000009</v>
      </c>
      <c r="AF21" s="598">
        <f>$AD21+AF$20</f>
        <v>284.44078506382766</v>
      </c>
    </row>
    <row r="22" spans="2:49" x14ac:dyDescent="0.25">
      <c r="B22" s="135">
        <f>B21+1</f>
        <v>16</v>
      </c>
      <c r="C22" s="104">
        <f>D6</f>
        <v>30</v>
      </c>
      <c r="D22" s="104">
        <f>C6</f>
        <v>60</v>
      </c>
      <c r="E22" s="104">
        <f>E6</f>
        <v>8</v>
      </c>
      <c r="F22" s="105">
        <f>H22/$C$36</f>
        <v>0.23881499395405081</v>
      </c>
      <c r="G22" s="105">
        <f>I22/$C$36</f>
        <v>7.8597339782345829E-2</v>
      </c>
      <c r="H22" s="108">
        <f>I6</f>
        <v>0.79</v>
      </c>
      <c r="I22" s="109">
        <f>H6</f>
        <v>0.26</v>
      </c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95"/>
      <c r="AA22" s="621">
        <v>10000</v>
      </c>
      <c r="AB22" s="448">
        <f>$AD22+AB$20</f>
        <v>2363.4407850638277</v>
      </c>
      <c r="AC22" s="448">
        <f>$AD22+AC$20</f>
        <v>2147.4960000000001</v>
      </c>
      <c r="AD22" s="622">
        <v>2100</v>
      </c>
      <c r="AE22" s="448">
        <f>$AD22+AE$20</f>
        <v>2147.4960000000001</v>
      </c>
      <c r="AF22" s="623">
        <f>$AD22+AF$20</f>
        <v>2363.4407850638277</v>
      </c>
    </row>
    <row r="23" spans="2:49" x14ac:dyDescent="0.25">
      <c r="B23" s="136">
        <v>17</v>
      </c>
      <c r="C23" s="110"/>
      <c r="D23" s="110"/>
      <c r="E23" s="110"/>
      <c r="F23" s="111"/>
      <c r="G23" s="111"/>
      <c r="H23" s="112"/>
      <c r="I23" s="113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AB23" s="78"/>
    </row>
    <row r="24" spans="2:49" x14ac:dyDescent="0.25">
      <c r="B24" s="136">
        <v>18</v>
      </c>
      <c r="C24" s="110"/>
      <c r="D24" s="110"/>
      <c r="E24" s="110"/>
      <c r="F24" s="111"/>
      <c r="G24" s="111"/>
      <c r="H24" s="112"/>
      <c r="I24" s="113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>
        <v>-10000</v>
      </c>
      <c r="AA24">
        <v>-30</v>
      </c>
      <c r="AB24" s="78"/>
      <c r="AC24">
        <v>3863</v>
      </c>
      <c r="AD24">
        <v>3647</v>
      </c>
      <c r="AE24">
        <v>3600</v>
      </c>
      <c r="AF24">
        <v>3647</v>
      </c>
      <c r="AG24" t="s">
        <v>463</v>
      </c>
      <c r="AH24">
        <v>83</v>
      </c>
      <c r="AI24">
        <v>36</v>
      </c>
      <c r="AJ24">
        <v>83</v>
      </c>
      <c r="AK24" t="s">
        <v>464</v>
      </c>
      <c r="AL24">
        <v>47</v>
      </c>
      <c r="AM24">
        <v>0</v>
      </c>
      <c r="AN24">
        <v>47</v>
      </c>
      <c r="AO24" t="s">
        <v>465</v>
      </c>
      <c r="AP24">
        <v>68</v>
      </c>
      <c r="AQ24">
        <v>21</v>
      </c>
      <c r="AR24">
        <v>68</v>
      </c>
      <c r="AS24" t="s">
        <v>466</v>
      </c>
      <c r="AT24">
        <v>2147</v>
      </c>
      <c r="AU24">
        <v>2100</v>
      </c>
      <c r="AV24">
        <v>2147</v>
      </c>
      <c r="AW24">
        <v>2363</v>
      </c>
    </row>
    <row r="25" spans="2:49" x14ac:dyDescent="0.25">
      <c r="B25" s="138">
        <f>B24+1</f>
        <v>19</v>
      </c>
      <c r="C25" s="118">
        <f>D9</f>
        <v>30</v>
      </c>
      <c r="D25" s="118">
        <f>C9</f>
        <v>45</v>
      </c>
      <c r="E25" s="118">
        <f>E9</f>
        <v>12</v>
      </c>
      <c r="F25" s="119">
        <f>H25/$C$36</f>
        <v>0.35973397823458281</v>
      </c>
      <c r="G25" s="119">
        <f>I25/$C$36</f>
        <v>0.21160822249093109</v>
      </c>
      <c r="H25" s="120">
        <f>I9</f>
        <v>1.19</v>
      </c>
      <c r="I25" s="121">
        <f>H9</f>
        <v>0.7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>
        <v>-10000</v>
      </c>
      <c r="AA25">
        <v>-1</v>
      </c>
      <c r="AB25" s="78"/>
    </row>
    <row r="26" spans="2:49" x14ac:dyDescent="0.25">
      <c r="B26" s="138">
        <f>B25+1</f>
        <v>20</v>
      </c>
      <c r="C26" s="118">
        <f>D10</f>
        <v>30</v>
      </c>
      <c r="D26" s="118">
        <f>C10</f>
        <v>45</v>
      </c>
      <c r="E26" s="118">
        <f>E10</f>
        <v>8</v>
      </c>
      <c r="F26" s="119">
        <f>H26/$C$36</f>
        <v>0.23881499395405081</v>
      </c>
      <c r="G26" s="119">
        <f>I26/$C$36</f>
        <v>0.13905683192261187</v>
      </c>
      <c r="H26" s="120">
        <f>I10</f>
        <v>0.79</v>
      </c>
      <c r="I26" s="121">
        <f>H10</f>
        <v>0.46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>
        <v>-10000</v>
      </c>
      <c r="AA26" s="89">
        <v>0</v>
      </c>
      <c r="AB26" s="78"/>
    </row>
    <row r="27" spans="2:49" x14ac:dyDescent="0.25">
      <c r="B27" s="139">
        <v>21</v>
      </c>
      <c r="C27" s="122"/>
      <c r="D27" s="122"/>
      <c r="E27" s="122"/>
      <c r="F27" s="123"/>
      <c r="G27" s="123"/>
      <c r="H27" s="124"/>
      <c r="I27" s="125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>
        <v>-10000</v>
      </c>
      <c r="AA27" s="89">
        <v>1</v>
      </c>
      <c r="AB27" s="78"/>
    </row>
    <row r="28" spans="2:49" x14ac:dyDescent="0.25">
      <c r="B28" s="139">
        <v>22</v>
      </c>
      <c r="C28" s="122"/>
      <c r="D28" s="122"/>
      <c r="E28" s="122"/>
      <c r="F28" s="123"/>
      <c r="G28" s="123"/>
      <c r="H28" s="124"/>
      <c r="I28" s="125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>
        <v>-10000</v>
      </c>
      <c r="AA28" s="89">
        <v>30</v>
      </c>
      <c r="AB28" s="78"/>
    </row>
    <row r="29" spans="2:49" x14ac:dyDescent="0.25">
      <c r="B29" s="90">
        <v>23</v>
      </c>
      <c r="F29" s="126"/>
      <c r="G29" s="126"/>
      <c r="H29" s="127"/>
      <c r="I29" s="12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>
        <v>-100</v>
      </c>
      <c r="AA29" s="89">
        <v>-30</v>
      </c>
      <c r="AB29" s="78"/>
    </row>
    <row r="30" spans="2:49" x14ac:dyDescent="0.25">
      <c r="B30" s="90">
        <v>24</v>
      </c>
      <c r="F30" s="129"/>
      <c r="G30" s="129"/>
      <c r="I30" s="130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>
        <v>-100</v>
      </c>
      <c r="AA30" s="89">
        <v>-1</v>
      </c>
      <c r="AB30" s="78"/>
    </row>
    <row r="31" spans="2:49" x14ac:dyDescent="0.25">
      <c r="B31" s="90">
        <v>25</v>
      </c>
      <c r="F31" s="129"/>
      <c r="G31" s="129"/>
      <c r="I31" s="130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>
        <v>-100</v>
      </c>
      <c r="AA31" s="89">
        <v>0</v>
      </c>
      <c r="AB31" s="78"/>
    </row>
    <row r="32" spans="2:49" x14ac:dyDescent="0.25">
      <c r="B32" s="90">
        <v>26</v>
      </c>
      <c r="F32" s="129"/>
      <c r="G32" s="129"/>
      <c r="I32" s="130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>
        <v>-100</v>
      </c>
      <c r="AA32" s="89">
        <v>1</v>
      </c>
      <c r="AB32" s="78"/>
    </row>
    <row r="33" spans="2:28" x14ac:dyDescent="0.25">
      <c r="B33" s="90">
        <v>27</v>
      </c>
      <c r="C33" s="71">
        <f>D17</f>
        <v>25</v>
      </c>
      <c r="D33" s="71">
        <f>C17</f>
        <v>35</v>
      </c>
      <c r="E33" s="71">
        <f>E17</f>
        <v>12</v>
      </c>
      <c r="F33" s="129">
        <f>H33/$C$36</f>
        <v>0.41717049576783555</v>
      </c>
      <c r="G33" s="129">
        <f>I33/$C$36</f>
        <v>0.30229746070133012</v>
      </c>
      <c r="H33" s="71">
        <f>I17</f>
        <v>1.38</v>
      </c>
      <c r="I33" s="130">
        <f>H17</f>
        <v>1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>
        <v>-100</v>
      </c>
      <c r="AA33" s="89">
        <v>30</v>
      </c>
      <c r="AB33" s="78"/>
    </row>
    <row r="34" spans="2:28" ht="15.75" thickBot="1" x14ac:dyDescent="0.3">
      <c r="B34" s="91">
        <f>B33+1</f>
        <v>28</v>
      </c>
      <c r="C34" s="93">
        <f>D18</f>
        <v>25</v>
      </c>
      <c r="D34" s="93">
        <f>C18</f>
        <v>35</v>
      </c>
      <c r="E34" s="93">
        <f>E18</f>
        <v>8</v>
      </c>
      <c r="F34" s="131">
        <f>H34/$C$36</f>
        <v>0.2750906892382104</v>
      </c>
      <c r="G34" s="131">
        <f>I34/$C$36</f>
        <v>0.19951632406287789</v>
      </c>
      <c r="H34" s="93">
        <f>I18</f>
        <v>0.91</v>
      </c>
      <c r="I34" s="132">
        <f>H18</f>
        <v>0.66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>
        <v>0</v>
      </c>
      <c r="AA34" s="89">
        <v>-30</v>
      </c>
      <c r="AB34" s="78"/>
    </row>
    <row r="35" spans="2:28" x14ac:dyDescent="0.25"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>
        <v>0</v>
      </c>
      <c r="AA35" s="89">
        <v>-1</v>
      </c>
      <c r="AB35" s="78"/>
    </row>
    <row r="36" spans="2:28" x14ac:dyDescent="0.25">
      <c r="B36" s="75" t="s">
        <v>108</v>
      </c>
      <c r="C36" s="133">
        <v>3.3079999999999998</v>
      </c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>
        <v>0</v>
      </c>
      <c r="AA36" s="89">
        <v>0</v>
      </c>
      <c r="AB36" s="78"/>
    </row>
    <row r="37" spans="2:28" x14ac:dyDescent="0.25"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>
        <v>0</v>
      </c>
      <c r="AA37" s="89">
        <v>1</v>
      </c>
      <c r="AB37" s="78"/>
    </row>
    <row r="38" spans="2:28" x14ac:dyDescent="0.25"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>
        <v>0</v>
      </c>
      <c r="AA38" s="89">
        <v>30</v>
      </c>
      <c r="AB38" s="78"/>
    </row>
    <row r="39" spans="2:28" x14ac:dyDescent="0.25"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>
        <v>100</v>
      </c>
      <c r="AA39" s="89">
        <v>-30</v>
      </c>
      <c r="AB39" s="78"/>
    </row>
    <row r="40" spans="2:28" x14ac:dyDescent="0.25"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>
        <v>100</v>
      </c>
      <c r="AA40" s="89">
        <v>-1</v>
      </c>
      <c r="AB40" s="78"/>
    </row>
    <row r="41" spans="2:28" x14ac:dyDescent="0.25"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>
        <v>100</v>
      </c>
      <c r="AA41" s="89">
        <v>0</v>
      </c>
      <c r="AB41" s="78"/>
    </row>
    <row r="42" spans="2:28" x14ac:dyDescent="0.25"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>
        <v>100</v>
      </c>
      <c r="AA42" s="89">
        <v>1</v>
      </c>
      <c r="AB42" s="78"/>
    </row>
    <row r="43" spans="2:28" x14ac:dyDescent="0.25">
      <c r="Z43">
        <v>100</v>
      </c>
      <c r="AA43">
        <v>30</v>
      </c>
    </row>
    <row r="44" spans="2:28" x14ac:dyDescent="0.25">
      <c r="B44" s="169" t="s">
        <v>41</v>
      </c>
      <c r="C44" s="170"/>
      <c r="Z44">
        <v>10000</v>
      </c>
      <c r="AA44">
        <v>-30</v>
      </c>
    </row>
    <row r="45" spans="2:28" x14ac:dyDescent="0.25">
      <c r="Z45">
        <v>10000</v>
      </c>
      <c r="AA45">
        <v>-1</v>
      </c>
    </row>
    <row r="46" spans="2:28" x14ac:dyDescent="0.25">
      <c r="B46" s="79" t="s">
        <v>120</v>
      </c>
      <c r="C46" s="171">
        <v>110</v>
      </c>
      <c r="D46" s="172" t="s">
        <v>121</v>
      </c>
      <c r="E46" s="172"/>
      <c r="F46" s="172" t="s">
        <v>444</v>
      </c>
      <c r="G46" s="171">
        <v>0.34799999999999998</v>
      </c>
      <c r="H46" s="172"/>
      <c r="I46" s="172"/>
      <c r="J46" s="172"/>
      <c r="K46" s="172"/>
      <c r="L46" s="172"/>
      <c r="M46" s="172"/>
      <c r="N46" s="172"/>
      <c r="O46" s="72"/>
      <c r="Z46">
        <v>10000</v>
      </c>
      <c r="AA46">
        <v>0</v>
      </c>
    </row>
    <row r="47" spans="2:28" x14ac:dyDescent="0.25">
      <c r="B47" s="94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3"/>
      <c r="Z47">
        <v>10000</v>
      </c>
      <c r="AA47">
        <v>1</v>
      </c>
    </row>
    <row r="48" spans="2:28" x14ac:dyDescent="0.25">
      <c r="B48" s="175" t="s">
        <v>110</v>
      </c>
      <c r="C48" s="164" t="s">
        <v>122</v>
      </c>
      <c r="D48" s="164" t="s">
        <v>123</v>
      </c>
      <c r="E48" s="164" t="s">
        <v>124</v>
      </c>
      <c r="F48" s="164" t="s">
        <v>125</v>
      </c>
      <c r="G48" s="568" t="s">
        <v>443</v>
      </c>
      <c r="H48" s="85"/>
      <c r="I48" s="85"/>
      <c r="J48" s="85"/>
      <c r="K48" s="85"/>
      <c r="L48" s="85"/>
      <c r="M48" s="85"/>
      <c r="N48" s="85"/>
      <c r="O48" s="83"/>
      <c r="Z48">
        <v>10000</v>
      </c>
      <c r="AA48">
        <v>30</v>
      </c>
    </row>
    <row r="49" spans="2:15" x14ac:dyDescent="0.25">
      <c r="B49" s="173">
        <v>0</v>
      </c>
      <c r="C49" s="176">
        <f t="shared" ref="C49:C54" si="0">B49/60*360</f>
        <v>0</v>
      </c>
      <c r="D49" s="163">
        <f t="shared" ref="D49:D54" si="1">B49/60*6.28</f>
        <v>0</v>
      </c>
      <c r="E49" s="177">
        <v>0</v>
      </c>
      <c r="F49" s="176">
        <f t="shared" ref="F49:F54" si="2">E49*$C$46</f>
        <v>0</v>
      </c>
      <c r="G49" s="177">
        <f t="shared" ref="G49:G54" si="3">D49*$G$46*3.6</f>
        <v>0</v>
      </c>
      <c r="H49" s="85"/>
      <c r="I49" s="85"/>
      <c r="J49" s="85"/>
      <c r="K49" s="85"/>
      <c r="L49" s="85"/>
      <c r="M49" s="85"/>
      <c r="N49" s="85"/>
      <c r="O49" s="83"/>
    </row>
    <row r="50" spans="2:15" x14ac:dyDescent="0.25">
      <c r="B50" s="173">
        <v>10</v>
      </c>
      <c r="C50" s="176">
        <f t="shared" si="0"/>
        <v>60</v>
      </c>
      <c r="D50" s="163">
        <f t="shared" si="1"/>
        <v>1.0466666666666666</v>
      </c>
      <c r="E50" s="177">
        <v>0.44307944307944547</v>
      </c>
      <c r="F50" s="176">
        <f t="shared" si="2"/>
        <v>48.738738738739002</v>
      </c>
      <c r="G50" s="177">
        <f t="shared" si="3"/>
        <v>1.3112639999999998</v>
      </c>
      <c r="H50" s="85"/>
      <c r="I50" s="85"/>
      <c r="J50" s="85"/>
      <c r="K50" s="85"/>
      <c r="L50" s="85"/>
      <c r="M50" s="85"/>
      <c r="N50" s="85"/>
      <c r="O50" s="83"/>
    </row>
    <row r="51" spans="2:15" x14ac:dyDescent="0.25">
      <c r="B51" s="173">
        <v>20</v>
      </c>
      <c r="C51" s="176">
        <f t="shared" si="0"/>
        <v>120</v>
      </c>
      <c r="D51" s="163">
        <f t="shared" si="1"/>
        <v>2.0933333333333333</v>
      </c>
      <c r="E51" s="177">
        <v>0.62325962325962692</v>
      </c>
      <c r="F51" s="176">
        <f t="shared" si="2"/>
        <v>68.558558558558957</v>
      </c>
      <c r="G51" s="177">
        <f t="shared" si="3"/>
        <v>2.6225279999999995</v>
      </c>
      <c r="H51" s="85"/>
      <c r="I51" s="85"/>
      <c r="J51" s="85"/>
      <c r="K51" s="85"/>
      <c r="L51" s="85"/>
      <c r="M51" s="85"/>
      <c r="N51" s="85"/>
      <c r="O51" s="83"/>
    </row>
    <row r="52" spans="2:15" x14ac:dyDescent="0.25">
      <c r="B52" s="173">
        <v>30</v>
      </c>
      <c r="C52" s="176">
        <f t="shared" si="0"/>
        <v>180</v>
      </c>
      <c r="D52" s="163">
        <f t="shared" si="1"/>
        <v>3.14</v>
      </c>
      <c r="E52" s="177">
        <v>0.77477477477477974</v>
      </c>
      <c r="F52" s="176">
        <f t="shared" si="2"/>
        <v>85.22522522522577</v>
      </c>
      <c r="G52" s="177">
        <f t="shared" si="3"/>
        <v>3.933792</v>
      </c>
      <c r="H52" s="85"/>
      <c r="I52" s="85"/>
      <c r="J52" s="85"/>
      <c r="K52" s="85"/>
      <c r="L52" s="85"/>
      <c r="M52" s="85"/>
      <c r="N52" s="85"/>
      <c r="O52" s="83"/>
    </row>
    <row r="53" spans="2:15" x14ac:dyDescent="0.25">
      <c r="B53" s="173">
        <v>40</v>
      </c>
      <c r="C53" s="176">
        <f t="shared" si="0"/>
        <v>240</v>
      </c>
      <c r="D53" s="163">
        <f t="shared" si="1"/>
        <v>4.1866666666666665</v>
      </c>
      <c r="E53" s="177">
        <v>0.88943488943489302</v>
      </c>
      <c r="F53" s="176">
        <f t="shared" si="2"/>
        <v>97.837837837838237</v>
      </c>
      <c r="G53" s="177">
        <f t="shared" si="3"/>
        <v>5.2450559999999991</v>
      </c>
      <c r="H53" s="85"/>
      <c r="I53" s="85"/>
      <c r="J53" s="85"/>
      <c r="K53" s="85"/>
      <c r="L53" s="85"/>
      <c r="M53" s="85"/>
      <c r="N53" s="85"/>
      <c r="O53" s="83"/>
    </row>
    <row r="54" spans="2:15" x14ac:dyDescent="0.25">
      <c r="B54" s="173">
        <v>50</v>
      </c>
      <c r="C54" s="176">
        <f t="shared" si="0"/>
        <v>300</v>
      </c>
      <c r="D54" s="163">
        <f t="shared" si="1"/>
        <v>5.2333333333333334</v>
      </c>
      <c r="E54" s="177">
        <v>1</v>
      </c>
      <c r="F54" s="176">
        <f t="shared" si="2"/>
        <v>110</v>
      </c>
      <c r="G54" s="177">
        <f t="shared" si="3"/>
        <v>6.5563199999999995</v>
      </c>
      <c r="H54" s="85"/>
      <c r="I54" s="85"/>
      <c r="J54" s="85"/>
      <c r="K54" s="85"/>
      <c r="L54" s="85"/>
      <c r="M54" s="85"/>
      <c r="N54" s="85"/>
      <c r="O54" s="83"/>
    </row>
    <row r="55" spans="2:15" x14ac:dyDescent="0.25">
      <c r="B55" s="94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3"/>
    </row>
    <row r="56" spans="2:15" x14ac:dyDescent="0.25">
      <c r="B56" s="81" t="s">
        <v>126</v>
      </c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3"/>
    </row>
    <row r="57" spans="2:15" x14ac:dyDescent="0.25">
      <c r="B57" s="174" t="s">
        <v>127</v>
      </c>
      <c r="C57" s="179" cm="1">
        <f t="array" ref="C57">EXP(INDEX(LINEST(LN(F50:F54),LN(D50:D54),,),1,2))</f>
        <v>47.495748360839578</v>
      </c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3"/>
    </row>
    <row r="58" spans="2:15" x14ac:dyDescent="0.25">
      <c r="B58" s="174" t="s">
        <v>128</v>
      </c>
      <c r="C58" s="178" cm="1">
        <f t="array" ref="C58">INDEX(LINEST(LN(F50:F54),LN(D50:D54),,),1)</f>
        <v>0.50643569134659649</v>
      </c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3"/>
    </row>
    <row r="59" spans="2:15" x14ac:dyDescent="0.25">
      <c r="B59" s="94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3"/>
    </row>
    <row r="60" spans="2:15" x14ac:dyDescent="0.25">
      <c r="B60" s="95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7"/>
    </row>
    <row r="62" spans="2:15" x14ac:dyDescent="0.25">
      <c r="B62" s="71" t="s">
        <v>445</v>
      </c>
    </row>
    <row r="63" spans="2:15" x14ac:dyDescent="0.25">
      <c r="B63" s="71" t="s">
        <v>447</v>
      </c>
      <c r="C63" s="71" t="s">
        <v>446</v>
      </c>
    </row>
    <row r="64" spans="2:15" x14ac:dyDescent="0.25">
      <c r="B64" s="71">
        <v>-10000</v>
      </c>
      <c r="C64" s="569">
        <f>$G$9*B64</f>
        <v>-3597.3397823458281</v>
      </c>
    </row>
    <row r="65" spans="2:3" x14ac:dyDescent="0.25">
      <c r="B65" s="71">
        <v>-100</v>
      </c>
      <c r="C65" s="569">
        <v>0</v>
      </c>
    </row>
    <row r="66" spans="2:3" x14ac:dyDescent="0.25">
      <c r="B66" s="71">
        <v>0</v>
      </c>
      <c r="C66" s="569">
        <v>0</v>
      </c>
    </row>
    <row r="67" spans="2:3" x14ac:dyDescent="0.25">
      <c r="B67" s="71">
        <v>100</v>
      </c>
      <c r="C67" s="569">
        <v>0</v>
      </c>
    </row>
    <row r="68" spans="2:3" x14ac:dyDescent="0.25">
      <c r="B68" s="71">
        <v>10000</v>
      </c>
      <c r="C68" s="569">
        <f>$F$9*B68</f>
        <v>2116.0822249093108</v>
      </c>
    </row>
  </sheetData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C3A1-AA12-4034-B5A0-3B9FA69EDE89}">
  <sheetPr codeName="Sheet22"/>
  <dimension ref="B2:H37"/>
  <sheetViews>
    <sheetView showGridLines="0" zoomScaleNormal="100" workbookViewId="0">
      <selection activeCell="E18" sqref="E18"/>
    </sheetView>
  </sheetViews>
  <sheetFormatPr defaultColWidth="9.140625" defaultRowHeight="15" x14ac:dyDescent="0.25"/>
  <cols>
    <col min="1" max="1" width="3.7109375" customWidth="1"/>
    <col min="2" max="2" width="12" customWidth="1"/>
    <col min="4" max="4" width="17.5703125" customWidth="1"/>
    <col min="5" max="5" width="23.140625" customWidth="1"/>
    <col min="6" max="6" width="22.140625" customWidth="1"/>
    <col min="7" max="7" width="20.42578125" customWidth="1"/>
    <col min="8" max="8" width="22" customWidth="1"/>
  </cols>
  <sheetData>
    <row r="2" spans="2:8" x14ac:dyDescent="0.25">
      <c r="B2" s="408" t="s">
        <v>353</v>
      </c>
      <c r="C2" s="409"/>
      <c r="D2" s="409"/>
      <c r="E2" s="409"/>
      <c r="F2" s="410"/>
      <c r="H2" s="600" t="s">
        <v>456</v>
      </c>
    </row>
    <row r="3" spans="2:8" x14ac:dyDescent="0.25">
      <c r="B3" s="411" t="s">
        <v>354</v>
      </c>
      <c r="C3" s="412" t="s">
        <v>355</v>
      </c>
      <c r="D3" s="412" t="s">
        <v>357</v>
      </c>
      <c r="E3" s="412" t="s">
        <v>356</v>
      </c>
      <c r="F3" s="413" t="s">
        <v>336</v>
      </c>
      <c r="H3" s="601" t="s">
        <v>457</v>
      </c>
    </row>
    <row r="4" spans="2:8" x14ac:dyDescent="0.25">
      <c r="B4" s="414"/>
      <c r="C4" s="386"/>
      <c r="D4" s="386"/>
      <c r="E4" s="386"/>
      <c r="F4" s="415"/>
    </row>
    <row r="5" spans="2:8" x14ac:dyDescent="0.25">
      <c r="B5" s="416"/>
      <c r="C5" s="387"/>
      <c r="D5" s="387"/>
      <c r="E5" s="387"/>
      <c r="F5" s="417"/>
    </row>
    <row r="6" spans="2:8" x14ac:dyDescent="0.25">
      <c r="B6" s="416"/>
      <c r="C6" s="387"/>
      <c r="D6" s="387"/>
      <c r="E6" s="387"/>
      <c r="F6" s="417"/>
    </row>
    <row r="7" spans="2:8" x14ac:dyDescent="0.25">
      <c r="B7" s="418"/>
      <c r="C7" s="419"/>
      <c r="D7" s="419"/>
      <c r="E7" s="419"/>
      <c r="F7" s="420"/>
    </row>
    <row r="8" spans="2:8" s="380" customFormat="1" x14ac:dyDescent="0.25"/>
    <row r="9" spans="2:8" x14ac:dyDescent="0.25">
      <c r="B9" s="383" t="s">
        <v>358</v>
      </c>
      <c r="C9" s="172"/>
      <c r="D9" s="172"/>
      <c r="E9" s="172"/>
      <c r="F9" s="172"/>
      <c r="G9" s="72"/>
    </row>
    <row r="10" spans="2:8" x14ac:dyDescent="0.25">
      <c r="B10" s="175" t="s">
        <v>359</v>
      </c>
      <c r="C10" s="381">
        <v>7500</v>
      </c>
      <c r="D10" s="388" t="s">
        <v>362</v>
      </c>
      <c r="E10" s="332" t="s">
        <v>365</v>
      </c>
      <c r="F10" s="389">
        <v>20</v>
      </c>
      <c r="G10" s="382"/>
    </row>
    <row r="11" spans="2:8" x14ac:dyDescent="0.25">
      <c r="B11" s="81" t="s">
        <v>367</v>
      </c>
      <c r="C11" s="390">
        <v>0</v>
      </c>
      <c r="D11" s="82" t="s">
        <v>368</v>
      </c>
      <c r="E11" s="332" t="s">
        <v>364</v>
      </c>
      <c r="F11" s="389">
        <v>1010</v>
      </c>
      <c r="G11" s="382"/>
    </row>
    <row r="12" spans="2:8" x14ac:dyDescent="0.25">
      <c r="B12" s="94"/>
      <c r="C12" s="381"/>
      <c r="D12" s="381"/>
      <c r="E12" s="332" t="s">
        <v>363</v>
      </c>
      <c r="F12" s="389">
        <v>50</v>
      </c>
      <c r="G12" s="382"/>
    </row>
    <row r="13" spans="2:8" x14ac:dyDescent="0.25">
      <c r="B13" s="94"/>
      <c r="C13" s="381"/>
      <c r="D13" s="381"/>
      <c r="E13" s="391" t="s">
        <v>366</v>
      </c>
      <c r="F13" s="392">
        <f>MIN(1,1/(((1010/(F11-(6.1121*EXP((18.678-F10/234.5)*F10/(257.14+F10))*F12/100)))^1.169)*(F10+273)/293))</f>
        <v>0.98648100506488812</v>
      </c>
      <c r="G13" s="382"/>
    </row>
    <row r="14" spans="2:8" x14ac:dyDescent="0.25">
      <c r="B14" s="94"/>
      <c r="C14" s="381"/>
      <c r="D14" s="381"/>
      <c r="E14" s="381"/>
      <c r="F14" s="381"/>
      <c r="G14" s="382"/>
    </row>
    <row r="15" spans="2:8" s="380" customFormat="1" x14ac:dyDescent="0.25">
      <c r="B15" s="81" t="s">
        <v>369</v>
      </c>
      <c r="C15" s="82"/>
      <c r="D15" s="393">
        <f>F13*(500+C11)/500</f>
        <v>0.98648100506488812</v>
      </c>
      <c r="E15" s="381"/>
      <c r="F15" s="381"/>
      <c r="G15" s="382"/>
    </row>
    <row r="16" spans="2:8" s="380" customFormat="1" x14ac:dyDescent="0.25">
      <c r="B16" s="94"/>
      <c r="C16" s="381"/>
      <c r="D16" s="381"/>
      <c r="E16" s="381"/>
      <c r="F16" s="381"/>
      <c r="G16" s="382"/>
    </row>
    <row r="17" spans="2:7" x14ac:dyDescent="0.25">
      <c r="B17" s="394" t="s">
        <v>360</v>
      </c>
      <c r="C17" s="395" t="s">
        <v>361</v>
      </c>
      <c r="D17" s="395" t="s">
        <v>370</v>
      </c>
      <c r="E17" s="395" t="s">
        <v>373</v>
      </c>
      <c r="F17" s="395" t="s">
        <v>371</v>
      </c>
      <c r="G17" s="396" t="s">
        <v>372</v>
      </c>
    </row>
    <row r="18" spans="2:7" x14ac:dyDescent="0.25">
      <c r="B18" s="397">
        <v>0.55000000000000004</v>
      </c>
      <c r="C18" s="398">
        <f>B18*$C$10</f>
        <v>4125</v>
      </c>
      <c r="D18" s="399">
        <v>246</v>
      </c>
      <c r="E18" s="398">
        <f>D18*1000/(C18/60*6.28)</f>
        <v>569.77417486971626</v>
      </c>
      <c r="F18" s="398">
        <f>D18*$D$15</f>
        <v>242.67432724596247</v>
      </c>
      <c r="G18" s="400">
        <f>E18*$D$15</f>
        <v>562.07140068549506</v>
      </c>
    </row>
    <row r="19" spans="2:7" x14ac:dyDescent="0.25">
      <c r="B19" s="397">
        <v>0.57499999999999996</v>
      </c>
      <c r="C19" s="398">
        <f t="shared" ref="C19:C37" si="0">B19*$C$10</f>
        <v>4312.5</v>
      </c>
      <c r="D19" s="399">
        <v>269</v>
      </c>
      <c r="E19" s="398">
        <f t="shared" ref="E19:E37" si="1">D19*1000/(C19/60*6.28)</f>
        <v>595.95679867072829</v>
      </c>
      <c r="F19" s="398">
        <f t="shared" ref="F19:F37" si="2">D19*$D$15</f>
        <v>265.36339036245488</v>
      </c>
      <c r="G19" s="400">
        <f t="shared" ref="G19:G37" si="3">E19*$D$15</f>
        <v>587.90006172795324</v>
      </c>
    </row>
    <row r="20" spans="2:7" x14ac:dyDescent="0.25">
      <c r="B20" s="397">
        <v>0.6</v>
      </c>
      <c r="C20" s="398">
        <f t="shared" si="0"/>
        <v>4500</v>
      </c>
      <c r="D20" s="399">
        <v>289</v>
      </c>
      <c r="E20" s="398">
        <f t="shared" si="1"/>
        <v>613.58811040339708</v>
      </c>
      <c r="F20" s="398">
        <f t="shared" si="2"/>
        <v>285.09301046375265</v>
      </c>
      <c r="G20" s="400">
        <f t="shared" si="3"/>
        <v>605.29301584660868</v>
      </c>
    </row>
    <row r="21" spans="2:7" x14ac:dyDescent="0.25">
      <c r="B21" s="397">
        <v>0.625</v>
      </c>
      <c r="C21" s="398">
        <f t="shared" si="0"/>
        <v>4687.5</v>
      </c>
      <c r="D21" s="399">
        <v>309</v>
      </c>
      <c r="E21" s="398">
        <f t="shared" si="1"/>
        <v>629.80891719745227</v>
      </c>
      <c r="F21" s="398">
        <f t="shared" si="2"/>
        <v>304.82263056505042</v>
      </c>
      <c r="G21" s="400">
        <f t="shared" si="3"/>
        <v>621.29453363577159</v>
      </c>
    </row>
    <row r="22" spans="2:7" x14ac:dyDescent="0.25">
      <c r="B22" s="397">
        <v>0.65</v>
      </c>
      <c r="C22" s="398">
        <f t="shared" si="0"/>
        <v>4875</v>
      </c>
      <c r="D22" s="399">
        <v>330</v>
      </c>
      <c r="E22" s="398">
        <f t="shared" si="1"/>
        <v>646.74179323860858</v>
      </c>
      <c r="F22" s="398">
        <f t="shared" si="2"/>
        <v>325.53873167141307</v>
      </c>
      <c r="G22" s="400">
        <f t="shared" si="3"/>
        <v>637.99849421149065</v>
      </c>
    </row>
    <row r="23" spans="2:7" x14ac:dyDescent="0.25">
      <c r="B23" s="397">
        <v>0.67500000000000004</v>
      </c>
      <c r="C23" s="398">
        <f t="shared" si="0"/>
        <v>5062.5</v>
      </c>
      <c r="D23" s="399">
        <v>351</v>
      </c>
      <c r="E23" s="398">
        <f t="shared" si="1"/>
        <v>662.42038216560513</v>
      </c>
      <c r="F23" s="398">
        <f t="shared" si="2"/>
        <v>346.25483277777573</v>
      </c>
      <c r="G23" s="400">
        <f t="shared" si="3"/>
        <v>653.46512437419346</v>
      </c>
    </row>
    <row r="24" spans="2:7" x14ac:dyDescent="0.25">
      <c r="B24" s="397">
        <v>0.7</v>
      </c>
      <c r="C24" s="398">
        <f t="shared" si="0"/>
        <v>5250</v>
      </c>
      <c r="D24" s="399">
        <v>372</v>
      </c>
      <c r="E24" s="398">
        <f t="shared" si="1"/>
        <v>676.97907188353054</v>
      </c>
      <c r="F24" s="398">
        <f t="shared" si="2"/>
        <v>366.97093388413839</v>
      </c>
      <c r="G24" s="400">
        <f t="shared" si="3"/>
        <v>667.82699523956035</v>
      </c>
    </row>
    <row r="25" spans="2:7" x14ac:dyDescent="0.25">
      <c r="B25" s="397">
        <v>0.72499999999999998</v>
      </c>
      <c r="C25" s="398">
        <f t="shared" si="0"/>
        <v>5437.5</v>
      </c>
      <c r="D25" s="399">
        <v>393</v>
      </c>
      <c r="E25" s="398">
        <f t="shared" si="1"/>
        <v>690.53371403470237</v>
      </c>
      <c r="F25" s="398">
        <f t="shared" si="2"/>
        <v>387.68703499050105</v>
      </c>
      <c r="G25" s="400">
        <f t="shared" si="3"/>
        <v>681.19839225214321</v>
      </c>
    </row>
    <row r="26" spans="2:7" x14ac:dyDescent="0.25">
      <c r="B26" s="397">
        <v>0.75</v>
      </c>
      <c r="C26" s="398">
        <f t="shared" si="0"/>
        <v>5625</v>
      </c>
      <c r="D26" s="399">
        <v>413</v>
      </c>
      <c r="E26" s="398">
        <f t="shared" si="1"/>
        <v>701.48619957537153</v>
      </c>
      <c r="F26" s="398">
        <f t="shared" si="2"/>
        <v>407.41665509179882</v>
      </c>
      <c r="G26" s="400">
        <f t="shared" si="3"/>
        <v>692.00281119626118</v>
      </c>
    </row>
    <row r="27" spans="2:7" x14ac:dyDescent="0.25">
      <c r="B27" s="397">
        <v>0.77500000000000002</v>
      </c>
      <c r="C27" s="398">
        <f t="shared" si="0"/>
        <v>5812.5</v>
      </c>
      <c r="D27" s="399">
        <v>432</v>
      </c>
      <c r="E27" s="398">
        <f t="shared" si="1"/>
        <v>710.08835011300596</v>
      </c>
      <c r="F27" s="398">
        <f t="shared" si="2"/>
        <v>426.15979418803164</v>
      </c>
      <c r="G27" s="400">
        <f t="shared" si="3"/>
        <v>700.48866930434633</v>
      </c>
    </row>
    <row r="28" spans="2:7" x14ac:dyDescent="0.25">
      <c r="B28" s="397">
        <v>0.8</v>
      </c>
      <c r="C28" s="398">
        <f t="shared" si="0"/>
        <v>6000</v>
      </c>
      <c r="D28" s="399">
        <v>449</v>
      </c>
      <c r="E28" s="398">
        <f t="shared" si="1"/>
        <v>714.96815286624201</v>
      </c>
      <c r="F28" s="398">
        <f t="shared" si="2"/>
        <v>442.92997127413474</v>
      </c>
      <c r="G28" s="400">
        <f t="shared" si="3"/>
        <v>705.30250202887703</v>
      </c>
    </row>
    <row r="29" spans="2:7" x14ac:dyDescent="0.25">
      <c r="B29" s="397">
        <v>0.82499999999999996</v>
      </c>
      <c r="C29" s="398">
        <f t="shared" si="0"/>
        <v>6187.5</v>
      </c>
      <c r="D29" s="399">
        <v>464</v>
      </c>
      <c r="E29" s="398">
        <f t="shared" si="1"/>
        <v>716.46400308820694</v>
      </c>
      <c r="F29" s="398">
        <f t="shared" si="2"/>
        <v>457.72718635010807</v>
      </c>
      <c r="G29" s="400">
        <f t="shared" si="3"/>
        <v>706.77812985926744</v>
      </c>
    </row>
    <row r="30" spans="2:7" x14ac:dyDescent="0.25">
      <c r="B30" s="397">
        <v>0.85</v>
      </c>
      <c r="C30" s="398">
        <f t="shared" si="0"/>
        <v>6375</v>
      </c>
      <c r="D30" s="399">
        <v>475</v>
      </c>
      <c r="E30" s="398">
        <f t="shared" si="1"/>
        <v>711.87710753091051</v>
      </c>
      <c r="F30" s="398">
        <f t="shared" si="2"/>
        <v>468.57847740582184</v>
      </c>
      <c r="G30" s="400">
        <f t="shared" si="3"/>
        <v>702.25324451977804</v>
      </c>
    </row>
    <row r="31" spans="2:7" x14ac:dyDescent="0.25">
      <c r="B31" s="397">
        <v>0.875</v>
      </c>
      <c r="C31" s="398">
        <f t="shared" si="0"/>
        <v>6562.5</v>
      </c>
      <c r="D31" s="399">
        <v>485</v>
      </c>
      <c r="E31" s="398">
        <f t="shared" si="1"/>
        <v>706.09645131938123</v>
      </c>
      <c r="F31" s="398">
        <f t="shared" si="2"/>
        <v>478.44328745647073</v>
      </c>
      <c r="G31" s="400">
        <f t="shared" si="3"/>
        <v>696.550736970294</v>
      </c>
    </row>
    <row r="32" spans="2:7" x14ac:dyDescent="0.25">
      <c r="B32" s="397">
        <v>0.9</v>
      </c>
      <c r="C32" s="398">
        <f t="shared" si="0"/>
        <v>6750</v>
      </c>
      <c r="D32" s="399">
        <v>492</v>
      </c>
      <c r="E32" s="398">
        <f t="shared" si="1"/>
        <v>696.39065817409767</v>
      </c>
      <c r="F32" s="398">
        <f t="shared" si="2"/>
        <v>485.34865449192495</v>
      </c>
      <c r="G32" s="400">
        <f t="shared" si="3"/>
        <v>686.97615639338278</v>
      </c>
    </row>
    <row r="33" spans="2:7" x14ac:dyDescent="0.25">
      <c r="B33" s="397">
        <v>0.92500000000000004</v>
      </c>
      <c r="C33" s="398">
        <f t="shared" si="0"/>
        <v>6937.5</v>
      </c>
      <c r="D33" s="399">
        <v>497</v>
      </c>
      <c r="E33" s="398">
        <f t="shared" si="1"/>
        <v>684.45515579273535</v>
      </c>
      <c r="F33" s="398">
        <f t="shared" si="2"/>
        <v>490.28105951724939</v>
      </c>
      <c r="G33" s="400">
        <f t="shared" si="3"/>
        <v>675.20201000826216</v>
      </c>
    </row>
    <row r="34" spans="2:7" x14ac:dyDescent="0.25">
      <c r="B34" s="401">
        <v>0.95</v>
      </c>
      <c r="C34" s="402">
        <f t="shared" si="0"/>
        <v>7125</v>
      </c>
      <c r="D34" s="403">
        <v>500</v>
      </c>
      <c r="E34" s="398">
        <f t="shared" si="1"/>
        <v>670.46597385182702</v>
      </c>
      <c r="F34" s="398">
        <f t="shared" si="2"/>
        <v>493.24050253244405</v>
      </c>
      <c r="G34" s="400">
        <f t="shared" si="3"/>
        <v>661.40194774715928</v>
      </c>
    </row>
    <row r="35" spans="2:7" x14ac:dyDescent="0.25">
      <c r="B35" s="397">
        <v>0.97499999999999998</v>
      </c>
      <c r="C35" s="398">
        <f t="shared" si="0"/>
        <v>7312.5</v>
      </c>
      <c r="D35" s="399">
        <v>498</v>
      </c>
      <c r="E35" s="398">
        <f t="shared" si="1"/>
        <v>650.66144047035766</v>
      </c>
      <c r="F35" s="398">
        <f t="shared" si="2"/>
        <v>491.26754052231428</v>
      </c>
      <c r="G35" s="400">
        <f t="shared" si="3"/>
        <v>641.8651517521663</v>
      </c>
    </row>
    <row r="36" spans="2:7" x14ac:dyDescent="0.25">
      <c r="B36" s="397">
        <v>1</v>
      </c>
      <c r="C36" s="398">
        <f t="shared" si="0"/>
        <v>7500</v>
      </c>
      <c r="D36" s="399">
        <v>495</v>
      </c>
      <c r="E36" s="398">
        <f t="shared" si="1"/>
        <v>630.57324840764329</v>
      </c>
      <c r="F36" s="398">
        <f t="shared" si="2"/>
        <v>488.30809750711961</v>
      </c>
      <c r="G36" s="400">
        <f t="shared" si="3"/>
        <v>622.04853185620334</v>
      </c>
    </row>
    <row r="37" spans="2:7" x14ac:dyDescent="0.25">
      <c r="B37" s="404">
        <v>1.0249999999999999</v>
      </c>
      <c r="C37" s="405">
        <f t="shared" si="0"/>
        <v>7687.4999999999991</v>
      </c>
      <c r="D37" s="406">
        <v>427</v>
      </c>
      <c r="E37" s="405">
        <f t="shared" si="1"/>
        <v>530.68199471803644</v>
      </c>
      <c r="F37" s="405">
        <f t="shared" si="2"/>
        <v>421.2273891627072</v>
      </c>
      <c r="G37" s="407">
        <f t="shared" si="3"/>
        <v>523.50770751928826</v>
      </c>
    </row>
  </sheetData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C33B-31F4-49BC-BCC8-D328BDFB95F0}">
  <sheetPr codeName="Sheet23"/>
  <dimension ref="A1"/>
  <sheetViews>
    <sheetView workbookViewId="0">
      <selection activeCell="B39" sqref="B39"/>
    </sheetView>
  </sheetViews>
  <sheetFormatPr defaultColWidth="9.140625" defaultRowHeight="15" x14ac:dyDescent="0.25"/>
  <cols>
    <col min="1" max="1" width="3.7109375" customWidth="1"/>
  </cols>
  <sheetData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5E08-DA57-4972-AF90-BF3EF32C60AD}">
  <sheetPr codeName="Sheet24">
    <pageSetUpPr fitToPage="1"/>
  </sheetPr>
  <dimension ref="A1:U28"/>
  <sheetViews>
    <sheetView showGridLines="0" topLeftCell="A9" zoomScaleNormal="100" workbookViewId="0">
      <selection activeCell="C13" sqref="C13"/>
    </sheetView>
  </sheetViews>
  <sheetFormatPr defaultColWidth="9.140625" defaultRowHeight="15" x14ac:dyDescent="0.25"/>
  <cols>
    <col min="1" max="1" width="11.85546875" customWidth="1"/>
    <col min="8" max="8" width="12.5703125" bestFit="1" customWidth="1"/>
  </cols>
  <sheetData>
    <row r="1" spans="1:21" ht="15.75" thickBot="1" x14ac:dyDescent="0.3"/>
    <row r="2" spans="1:21" ht="15.75" thickBot="1" x14ac:dyDescent="0.3">
      <c r="B2" s="1245" t="s">
        <v>13</v>
      </c>
      <c r="C2" s="1246"/>
      <c r="D2" s="1246"/>
      <c r="E2" s="1246"/>
      <c r="F2" s="1247"/>
      <c r="T2" t="s">
        <v>493</v>
      </c>
    </row>
    <row r="3" spans="1:21" x14ac:dyDescent="0.25">
      <c r="B3" s="334" t="s">
        <v>249</v>
      </c>
      <c r="C3" s="335" t="s">
        <v>250</v>
      </c>
      <c r="D3" s="335" t="s">
        <v>251</v>
      </c>
      <c r="E3" s="335" t="s">
        <v>252</v>
      </c>
      <c r="F3" s="336" t="s">
        <v>253</v>
      </c>
    </row>
    <row r="4" spans="1:21" ht="15.75" thickBot="1" x14ac:dyDescent="0.3">
      <c r="B4" s="337" t="s">
        <v>254</v>
      </c>
      <c r="C4" s="338" t="s">
        <v>67</v>
      </c>
      <c r="D4" s="338" t="s">
        <v>67</v>
      </c>
      <c r="E4" s="338" t="s">
        <v>67</v>
      </c>
      <c r="F4" s="339" t="s">
        <v>255</v>
      </c>
      <c r="T4" t="s">
        <v>492</v>
      </c>
      <c r="U4" t="s">
        <v>22</v>
      </c>
    </row>
    <row r="5" spans="1:21" x14ac:dyDescent="0.25">
      <c r="B5" s="340">
        <v>1</v>
      </c>
      <c r="C5" s="341">
        <v>0</v>
      </c>
      <c r="D5" s="341">
        <v>0</v>
      </c>
      <c r="E5" s="347">
        <v>53</v>
      </c>
      <c r="F5" s="349">
        <v>82</v>
      </c>
    </row>
    <row r="6" spans="1:21" x14ac:dyDescent="0.25">
      <c r="B6" s="340">
        <v>2</v>
      </c>
      <c r="C6" s="341">
        <v>-5</v>
      </c>
      <c r="D6" s="341">
        <v>0</v>
      </c>
      <c r="E6" s="347">
        <v>41</v>
      </c>
      <c r="F6" s="349">
        <v>96</v>
      </c>
    </row>
    <row r="7" spans="1:21" x14ac:dyDescent="0.25">
      <c r="B7" s="340">
        <v>3</v>
      </c>
      <c r="C7" s="341">
        <v>5</v>
      </c>
      <c r="D7" s="341">
        <v>0</v>
      </c>
      <c r="E7" s="347">
        <v>64</v>
      </c>
      <c r="F7" s="349">
        <v>67</v>
      </c>
    </row>
    <row r="8" spans="1:21" x14ac:dyDescent="0.25">
      <c r="B8" s="340">
        <v>4</v>
      </c>
      <c r="C8" s="341">
        <v>0</v>
      </c>
      <c r="D8" s="341">
        <v>5</v>
      </c>
      <c r="E8" s="351">
        <v>65.5</v>
      </c>
      <c r="F8" s="349">
        <v>96</v>
      </c>
    </row>
    <row r="9" spans="1:21" x14ac:dyDescent="0.25">
      <c r="B9" s="340">
        <v>5</v>
      </c>
      <c r="C9" s="341">
        <v>0</v>
      </c>
      <c r="D9" s="341">
        <v>-5</v>
      </c>
      <c r="E9" s="347">
        <v>40</v>
      </c>
      <c r="F9" s="349">
        <v>67</v>
      </c>
    </row>
    <row r="10" spans="1:21" x14ac:dyDescent="0.25">
      <c r="B10" s="340">
        <v>6</v>
      </c>
      <c r="C10" s="341">
        <v>5</v>
      </c>
      <c r="D10" s="341">
        <v>5</v>
      </c>
      <c r="E10" s="347">
        <v>77</v>
      </c>
      <c r="F10" s="349">
        <v>82</v>
      </c>
    </row>
    <row r="11" spans="1:21" x14ac:dyDescent="0.25">
      <c r="B11" s="340">
        <v>7</v>
      </c>
      <c r="C11" s="341">
        <v>5</v>
      </c>
      <c r="D11" s="341">
        <v>-5</v>
      </c>
      <c r="E11" s="347">
        <v>51</v>
      </c>
      <c r="F11" s="349">
        <v>53</v>
      </c>
    </row>
    <row r="12" spans="1:21" x14ac:dyDescent="0.25">
      <c r="B12" s="340">
        <v>8</v>
      </c>
      <c r="C12" s="341">
        <v>-5</v>
      </c>
      <c r="D12" s="341">
        <v>-5</v>
      </c>
      <c r="E12" s="347">
        <v>28</v>
      </c>
      <c r="F12" s="349">
        <v>81</v>
      </c>
    </row>
    <row r="13" spans="1:21" ht="15.75" thickBot="1" x14ac:dyDescent="0.3">
      <c r="A13" t="s">
        <v>450</v>
      </c>
      <c r="B13" s="342">
        <v>9</v>
      </c>
      <c r="C13" s="343">
        <v>-5</v>
      </c>
      <c r="D13" s="343">
        <v>5</v>
      </c>
      <c r="E13" s="348">
        <v>54</v>
      </c>
      <c r="F13" s="350">
        <v>110</v>
      </c>
    </row>
    <row r="14" spans="1:21" x14ac:dyDescent="0.25">
      <c r="B14" s="344"/>
    </row>
    <row r="15" spans="1:21" ht="15.75" thickBot="1" x14ac:dyDescent="0.3">
      <c r="B15" s="385"/>
      <c r="C15" s="333"/>
      <c r="D15" s="333"/>
      <c r="E15" s="333"/>
      <c r="F15" s="333"/>
      <c r="G15" s="333"/>
      <c r="H15" s="333"/>
    </row>
    <row r="16" spans="1:21" ht="15.75" thickBot="1" x14ac:dyDescent="0.3">
      <c r="B16" s="1245" t="s">
        <v>17</v>
      </c>
      <c r="C16" s="1246"/>
      <c r="D16" s="1246"/>
      <c r="E16" s="1246"/>
      <c r="F16" s="1246"/>
      <c r="G16" s="1246"/>
      <c r="H16" s="1247"/>
    </row>
    <row r="17" spans="1:8" x14ac:dyDescent="0.25">
      <c r="B17" s="334" t="s">
        <v>249</v>
      </c>
      <c r="C17" s="335" t="s">
        <v>256</v>
      </c>
      <c r="D17" s="335" t="s">
        <v>250</v>
      </c>
      <c r="E17" s="335" t="s">
        <v>252</v>
      </c>
      <c r="F17" s="335" t="s">
        <v>257</v>
      </c>
      <c r="G17" s="335" t="s">
        <v>258</v>
      </c>
      <c r="H17" s="336" t="s">
        <v>259</v>
      </c>
    </row>
    <row r="18" spans="1:8" ht="15.75" thickBot="1" x14ac:dyDescent="0.3">
      <c r="B18" s="337" t="s">
        <v>254</v>
      </c>
      <c r="C18" s="338" t="s">
        <v>67</v>
      </c>
      <c r="D18" s="338" t="s">
        <v>67</v>
      </c>
      <c r="E18" s="338" t="s">
        <v>67</v>
      </c>
      <c r="F18" s="338" t="s">
        <v>255</v>
      </c>
      <c r="G18" s="338" t="s">
        <v>255</v>
      </c>
      <c r="H18" s="339" t="s">
        <v>67</v>
      </c>
    </row>
    <row r="19" spans="1:8" x14ac:dyDescent="0.25">
      <c r="B19" s="340">
        <v>1</v>
      </c>
      <c r="C19" s="341">
        <v>0</v>
      </c>
      <c r="D19" s="341">
        <v>0</v>
      </c>
      <c r="E19" s="347">
        <v>102</v>
      </c>
      <c r="F19" s="347">
        <v>16</v>
      </c>
      <c r="G19" s="347">
        <v>40</v>
      </c>
      <c r="H19" s="345"/>
    </row>
    <row r="20" spans="1:8" x14ac:dyDescent="0.25">
      <c r="B20" s="340">
        <v>2</v>
      </c>
      <c r="C20" s="341">
        <v>0</v>
      </c>
      <c r="D20" s="341">
        <v>20</v>
      </c>
      <c r="E20" s="347">
        <v>114</v>
      </c>
      <c r="F20" s="347">
        <v>26</v>
      </c>
      <c r="G20" s="347">
        <v>71</v>
      </c>
      <c r="H20" s="345">
        <v>-3</v>
      </c>
    </row>
    <row r="21" spans="1:8" x14ac:dyDescent="0.25">
      <c r="B21" s="340">
        <v>3</v>
      </c>
      <c r="C21" s="341">
        <v>-20</v>
      </c>
      <c r="D21" s="341">
        <v>0</v>
      </c>
      <c r="E21" s="347">
        <v>95</v>
      </c>
      <c r="F21" s="347">
        <v>-20</v>
      </c>
      <c r="G21" s="347">
        <v>60</v>
      </c>
      <c r="H21" s="345">
        <v>-4</v>
      </c>
    </row>
    <row r="22" spans="1:8" x14ac:dyDescent="0.25">
      <c r="A22" t="s">
        <v>450</v>
      </c>
      <c r="B22" s="340">
        <v>4</v>
      </c>
      <c r="C22" s="341">
        <v>-20</v>
      </c>
      <c r="D22" s="341">
        <v>20</v>
      </c>
      <c r="E22" s="347">
        <v>108</v>
      </c>
      <c r="F22" s="347">
        <v>-11</v>
      </c>
      <c r="G22" s="347">
        <v>90</v>
      </c>
      <c r="H22" s="345">
        <v>-7</v>
      </c>
    </row>
    <row r="23" spans="1:8" x14ac:dyDescent="0.25">
      <c r="B23" s="340">
        <v>5</v>
      </c>
      <c r="C23" s="341">
        <v>20</v>
      </c>
      <c r="D23" s="341">
        <v>0</v>
      </c>
      <c r="E23" s="347">
        <v>109</v>
      </c>
      <c r="F23" s="347">
        <v>52</v>
      </c>
      <c r="G23" s="347">
        <v>20</v>
      </c>
      <c r="H23" s="345">
        <v>3</v>
      </c>
    </row>
    <row r="24" spans="1:8" ht="15.75" thickBot="1" x14ac:dyDescent="0.3">
      <c r="B24" s="342">
        <v>6</v>
      </c>
      <c r="C24" s="343">
        <v>20</v>
      </c>
      <c r="D24" s="343">
        <v>20</v>
      </c>
      <c r="E24" s="348">
        <v>121</v>
      </c>
      <c r="F24" s="348">
        <v>61</v>
      </c>
      <c r="G24" s="348">
        <v>51</v>
      </c>
      <c r="H24" s="346">
        <v>0</v>
      </c>
    </row>
    <row r="27" spans="1:8" x14ac:dyDescent="0.25">
      <c r="B27" s="84" t="s">
        <v>451</v>
      </c>
    </row>
    <row r="28" spans="1:8" x14ac:dyDescent="0.25">
      <c r="B28" s="84" t="s">
        <v>452</v>
      </c>
    </row>
  </sheetData>
  <mergeCells count="2">
    <mergeCell ref="B2:F2"/>
    <mergeCell ref="B16:H16"/>
  </mergeCells>
  <pageMargins left="0.25" right="0.25" top="0.75" bottom="0.75" header="0.3" footer="0.3"/>
  <pageSetup paperSize="9" scale="50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CA63-AAC6-4FD3-A5B1-71B36AFCEC7E}">
  <sheetPr codeName="Sheet25"/>
  <dimension ref="B1:H21"/>
  <sheetViews>
    <sheetView showGridLines="0" zoomScale="120" zoomScaleNormal="120" workbookViewId="0"/>
  </sheetViews>
  <sheetFormatPr defaultColWidth="9.140625" defaultRowHeight="15" x14ac:dyDescent="0.25"/>
  <cols>
    <col min="1" max="1" width="3.7109375" customWidth="1"/>
    <col min="2" max="2" width="12.42578125" customWidth="1"/>
    <col min="3" max="3" width="13.85546875" bestFit="1" customWidth="1"/>
    <col min="4" max="7" width="12.7109375" customWidth="1"/>
    <col min="8" max="8" width="44.7109375" customWidth="1"/>
  </cols>
  <sheetData>
    <row r="1" spans="2:8" ht="15.75" thickBot="1" x14ac:dyDescent="0.3"/>
    <row r="2" spans="2:8" x14ac:dyDescent="0.25">
      <c r="B2" s="525"/>
      <c r="C2" s="526" t="s">
        <v>348</v>
      </c>
      <c r="D2" s="527" t="s">
        <v>347</v>
      </c>
      <c r="E2" s="527" t="s">
        <v>321</v>
      </c>
      <c r="F2" s="527" t="s">
        <v>322</v>
      </c>
      <c r="G2" s="527" t="s">
        <v>323</v>
      </c>
      <c r="H2" s="528" t="s">
        <v>336</v>
      </c>
    </row>
    <row r="3" spans="2:8" x14ac:dyDescent="0.25">
      <c r="B3" s="516" t="s">
        <v>320</v>
      </c>
      <c r="C3" s="373" t="s">
        <v>311</v>
      </c>
      <c r="D3" s="377">
        <v>1008</v>
      </c>
      <c r="E3" s="373">
        <v>1772</v>
      </c>
      <c r="F3" s="373">
        <v>2</v>
      </c>
      <c r="G3" s="373">
        <v>266</v>
      </c>
      <c r="H3" s="517" t="s">
        <v>346</v>
      </c>
    </row>
    <row r="4" spans="2:8" s="78" customFormat="1" x14ac:dyDescent="0.25">
      <c r="B4" s="516" t="s">
        <v>324</v>
      </c>
      <c r="C4" s="373" t="s">
        <v>311</v>
      </c>
      <c r="D4" s="379">
        <v>80</v>
      </c>
      <c r="E4" s="384">
        <v>1100</v>
      </c>
      <c r="F4" s="373">
        <v>0</v>
      </c>
      <c r="G4" s="373">
        <v>250</v>
      </c>
      <c r="H4" s="517" t="s">
        <v>346</v>
      </c>
    </row>
    <row r="5" spans="2:8" x14ac:dyDescent="0.25">
      <c r="B5" s="272" t="s">
        <v>351</v>
      </c>
      <c r="C5" s="273">
        <v>90</v>
      </c>
      <c r="D5" s="378">
        <v>0</v>
      </c>
      <c r="E5" s="273">
        <v>1750</v>
      </c>
      <c r="F5" s="273">
        <v>0</v>
      </c>
      <c r="G5" s="273">
        <v>245</v>
      </c>
      <c r="H5" s="518" t="s">
        <v>311</v>
      </c>
    </row>
    <row r="6" spans="2:8" x14ac:dyDescent="0.25">
      <c r="B6" s="272" t="s">
        <v>325</v>
      </c>
      <c r="C6" s="273">
        <v>15</v>
      </c>
      <c r="D6" s="374">
        <v>12</v>
      </c>
      <c r="E6" s="273">
        <v>-200</v>
      </c>
      <c r="F6" s="273">
        <v>0</v>
      </c>
      <c r="G6" s="273">
        <v>70</v>
      </c>
      <c r="H6" s="518" t="s">
        <v>335</v>
      </c>
    </row>
    <row r="7" spans="2:8" x14ac:dyDescent="0.25">
      <c r="B7" s="272" t="s">
        <v>326</v>
      </c>
      <c r="C7" s="273">
        <v>30</v>
      </c>
      <c r="D7" s="374">
        <v>0</v>
      </c>
      <c r="E7" s="273">
        <v>300</v>
      </c>
      <c r="F7" s="273">
        <v>0</v>
      </c>
      <c r="G7" s="273">
        <v>25</v>
      </c>
      <c r="H7" s="518" t="s">
        <v>337</v>
      </c>
    </row>
    <row r="8" spans="2:8" x14ac:dyDescent="0.25">
      <c r="B8" s="272" t="s">
        <v>327</v>
      </c>
      <c r="C8" s="273">
        <v>13</v>
      </c>
      <c r="D8" s="374">
        <v>0</v>
      </c>
      <c r="E8" s="273">
        <v>1310</v>
      </c>
      <c r="F8" s="273">
        <v>0</v>
      </c>
      <c r="G8" s="273">
        <v>25</v>
      </c>
      <c r="H8" s="518" t="s">
        <v>338</v>
      </c>
    </row>
    <row r="9" spans="2:8" x14ac:dyDescent="0.25">
      <c r="B9" s="272" t="s">
        <v>328</v>
      </c>
      <c r="C9" s="273">
        <v>20</v>
      </c>
      <c r="D9" s="374">
        <v>0</v>
      </c>
      <c r="E9" s="273">
        <v>1080</v>
      </c>
      <c r="F9" s="273">
        <v>0</v>
      </c>
      <c r="G9" s="273">
        <v>25</v>
      </c>
      <c r="H9" s="518" t="s">
        <v>339</v>
      </c>
    </row>
    <row r="10" spans="2:8" x14ac:dyDescent="0.25">
      <c r="B10" s="272" t="s">
        <v>329</v>
      </c>
      <c r="C10" s="542">
        <v>0</v>
      </c>
      <c r="D10" s="374">
        <v>0</v>
      </c>
      <c r="E10" s="273">
        <v>2267</v>
      </c>
      <c r="F10" s="273">
        <v>0</v>
      </c>
      <c r="G10" s="273">
        <v>20</v>
      </c>
      <c r="H10" s="518" t="s">
        <v>340</v>
      </c>
    </row>
    <row r="11" spans="2:8" x14ac:dyDescent="0.25">
      <c r="B11" s="272" t="s">
        <v>330</v>
      </c>
      <c r="C11" s="273">
        <v>20</v>
      </c>
      <c r="D11" s="374">
        <v>0</v>
      </c>
      <c r="E11" s="273">
        <v>2680</v>
      </c>
      <c r="F11" s="273">
        <v>0</v>
      </c>
      <c r="G11" s="273">
        <v>20</v>
      </c>
      <c r="H11" s="518" t="s">
        <v>341</v>
      </c>
    </row>
    <row r="12" spans="2:8" x14ac:dyDescent="0.25">
      <c r="B12" s="272" t="s">
        <v>331</v>
      </c>
      <c r="C12" s="542">
        <v>20</v>
      </c>
      <c r="D12" s="374">
        <v>0</v>
      </c>
      <c r="E12" s="273">
        <v>2995</v>
      </c>
      <c r="F12" s="273">
        <v>0</v>
      </c>
      <c r="G12" s="273">
        <v>20</v>
      </c>
      <c r="H12" s="518" t="s">
        <v>342</v>
      </c>
    </row>
    <row r="13" spans="2:8" x14ac:dyDescent="0.25">
      <c r="B13" s="272" t="s">
        <v>332</v>
      </c>
      <c r="C13" s="273">
        <v>0</v>
      </c>
      <c r="D13" s="374">
        <v>0</v>
      </c>
      <c r="E13" s="273">
        <v>0</v>
      </c>
      <c r="F13" s="273">
        <v>0</v>
      </c>
      <c r="G13" s="273">
        <v>0</v>
      </c>
      <c r="H13" s="518" t="s">
        <v>343</v>
      </c>
    </row>
    <row r="14" spans="2:8" x14ac:dyDescent="0.25">
      <c r="B14" s="272" t="s">
        <v>333</v>
      </c>
      <c r="C14" s="273">
        <v>50</v>
      </c>
      <c r="D14" s="374">
        <v>0</v>
      </c>
      <c r="E14" s="273">
        <v>1676</v>
      </c>
      <c r="F14" s="273">
        <v>0</v>
      </c>
      <c r="G14" s="273">
        <v>5</v>
      </c>
      <c r="H14" s="518" t="s">
        <v>344</v>
      </c>
    </row>
    <row r="15" spans="2:8" x14ac:dyDescent="0.25">
      <c r="B15" s="519" t="s">
        <v>334</v>
      </c>
      <c r="C15" s="376">
        <v>5</v>
      </c>
      <c r="D15" s="375">
        <v>0</v>
      </c>
      <c r="E15" s="376">
        <v>0</v>
      </c>
      <c r="F15" s="376">
        <v>0</v>
      </c>
      <c r="G15" s="376">
        <v>0</v>
      </c>
      <c r="H15" s="520" t="s">
        <v>345</v>
      </c>
    </row>
    <row r="16" spans="2:8" x14ac:dyDescent="0.25">
      <c r="B16" s="99"/>
      <c r="C16" s="381"/>
      <c r="D16" s="381"/>
      <c r="E16" s="381"/>
      <c r="F16" s="381"/>
      <c r="G16" s="381"/>
      <c r="H16" s="87"/>
    </row>
    <row r="17" spans="2:8" x14ac:dyDescent="0.25">
      <c r="B17" s="99"/>
      <c r="C17" s="391" t="s">
        <v>349</v>
      </c>
      <c r="D17" s="521">
        <f>SUM(D3:D15)</f>
        <v>1100</v>
      </c>
      <c r="E17" s="522" cm="1">
        <f t="array" ref="E17">SUM(D3:D15*E3:E15)/D17</f>
        <v>1701.6145454545454</v>
      </c>
      <c r="F17" s="522" cm="1">
        <f t="array" ref="F17">SUM(D3:D15*F3:F15)/D17</f>
        <v>1.8327272727272728</v>
      </c>
      <c r="G17" s="522" cm="1">
        <f t="array" ref="G17">SUM(D3:D15*G3:G15)/D17</f>
        <v>262.69818181818181</v>
      </c>
      <c r="H17" s="87"/>
    </row>
    <row r="18" spans="2:8" x14ac:dyDescent="0.25">
      <c r="B18" s="99"/>
      <c r="C18" s="391" t="s">
        <v>432</v>
      </c>
      <c r="D18" s="535">
        <f>1-E17/3140</f>
        <v>0.45808453966415752</v>
      </c>
      <c r="F18" s="381"/>
      <c r="G18" s="381"/>
      <c r="H18" s="87"/>
    </row>
    <row r="19" spans="2:8" s="539" customFormat="1" x14ac:dyDescent="0.25">
      <c r="B19" s="536"/>
      <c r="C19" s="537"/>
      <c r="D19" s="538"/>
      <c r="F19" s="540"/>
      <c r="G19" s="540"/>
      <c r="H19" s="541"/>
    </row>
    <row r="20" spans="2:8" x14ac:dyDescent="0.25">
      <c r="B20" s="523" t="s">
        <v>350</v>
      </c>
      <c r="C20" s="381"/>
      <c r="D20" s="381"/>
      <c r="E20" s="381"/>
      <c r="F20" s="381"/>
      <c r="G20" s="381"/>
      <c r="H20" s="87"/>
    </row>
    <row r="21" spans="2:8" ht="15.75" thickBot="1" x14ac:dyDescent="0.3">
      <c r="B21" s="524" t="s">
        <v>352</v>
      </c>
      <c r="C21" s="88"/>
      <c r="D21" s="88"/>
      <c r="E21" s="88"/>
      <c r="F21" s="88"/>
      <c r="G21" s="88"/>
      <c r="H21" s="142"/>
    </row>
  </sheetData>
  <phoneticPr fontId="34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65C7-ED52-410C-B8FD-A01268663D72}">
  <sheetPr codeName="Sheet26"/>
  <dimension ref="B2"/>
  <sheetViews>
    <sheetView workbookViewId="0"/>
  </sheetViews>
  <sheetFormatPr defaultColWidth="9.140625" defaultRowHeight="15" x14ac:dyDescent="0.25"/>
  <cols>
    <col min="1" max="1" width="3.7109375" customWidth="1"/>
  </cols>
  <sheetData>
    <row r="2" spans="2:2" x14ac:dyDescent="0.25">
      <c r="B2" t="s">
        <v>375</v>
      </c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FB99-9CFE-47E1-A738-5DF2F690FC49}">
  <sheetPr codeName="Sheet27"/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C680-8A2E-48CF-B3F4-34FD000A5884}">
  <sheetPr codeName="Sheet28"/>
  <dimension ref="B2:L30"/>
  <sheetViews>
    <sheetView showGridLines="0" zoomScale="130" zoomScaleNormal="130" workbookViewId="0">
      <selection activeCell="F2" sqref="F2"/>
    </sheetView>
  </sheetViews>
  <sheetFormatPr defaultColWidth="9.140625" defaultRowHeight="15" x14ac:dyDescent="0.25"/>
  <cols>
    <col min="1" max="1" width="3.7109375" customWidth="1"/>
    <col min="2" max="2" width="42.28515625" style="78" bestFit="1" customWidth="1"/>
    <col min="3" max="3" width="10.7109375" style="78" customWidth="1"/>
    <col min="4" max="4" width="22.85546875" style="78" bestFit="1" customWidth="1"/>
    <col min="5" max="5" width="3.7109375" customWidth="1"/>
    <col min="6" max="6" width="42.28515625" bestFit="1" customWidth="1"/>
    <col min="7" max="7" width="10.7109375" customWidth="1"/>
    <col min="8" max="8" width="22.85546875" bestFit="1" customWidth="1"/>
    <col min="9" max="9" width="3.7109375" customWidth="1"/>
    <col min="10" max="10" width="42.28515625" style="78" bestFit="1" customWidth="1"/>
    <col min="11" max="11" width="10.7109375" style="78" customWidth="1"/>
    <col min="12" max="12" width="22.85546875" style="78" bestFit="1" customWidth="1"/>
  </cols>
  <sheetData>
    <row r="2" spans="2:12" x14ac:dyDescent="0.25">
      <c r="B2" s="84" t="s">
        <v>268</v>
      </c>
      <c r="F2" s="84" t="s">
        <v>272</v>
      </c>
      <c r="J2" s="84" t="s">
        <v>273</v>
      </c>
    </row>
    <row r="3" spans="2:12" x14ac:dyDescent="0.25">
      <c r="B3" s="364" t="s">
        <v>269</v>
      </c>
      <c r="C3" s="365" t="s">
        <v>270</v>
      </c>
      <c r="D3" s="364" t="s">
        <v>271</v>
      </c>
      <c r="F3" s="364" t="s">
        <v>269</v>
      </c>
      <c r="G3" s="365" t="s">
        <v>270</v>
      </c>
      <c r="H3" s="364" t="s">
        <v>271</v>
      </c>
      <c r="J3" s="364" t="s">
        <v>269</v>
      </c>
      <c r="K3" s="365" t="s">
        <v>270</v>
      </c>
      <c r="L3" s="364" t="s">
        <v>271</v>
      </c>
    </row>
    <row r="4" spans="2:12" x14ac:dyDescent="0.25">
      <c r="B4" s="78" t="s">
        <v>315</v>
      </c>
      <c r="C4" s="168">
        <v>320</v>
      </c>
      <c r="D4" s="78" t="s">
        <v>314</v>
      </c>
      <c r="F4" t="s">
        <v>274</v>
      </c>
      <c r="G4" s="168">
        <v>76</v>
      </c>
      <c r="H4" t="s">
        <v>67</v>
      </c>
      <c r="J4" s="78" t="s">
        <v>274</v>
      </c>
      <c r="K4" s="168">
        <v>96</v>
      </c>
      <c r="L4" s="78" t="s">
        <v>67</v>
      </c>
    </row>
    <row r="5" spans="2:12" x14ac:dyDescent="0.25">
      <c r="B5" s="78" t="s">
        <v>316</v>
      </c>
      <c r="C5" s="168">
        <v>0.45500000000000002</v>
      </c>
      <c r="D5" s="78" t="s">
        <v>317</v>
      </c>
      <c r="F5" t="s">
        <v>309</v>
      </c>
      <c r="G5" s="168">
        <v>110</v>
      </c>
      <c r="H5" t="s">
        <v>67</v>
      </c>
      <c r="J5" s="78" t="s">
        <v>309</v>
      </c>
      <c r="K5" s="168">
        <v>110</v>
      </c>
      <c r="L5" s="78" t="s">
        <v>67</v>
      </c>
    </row>
    <row r="6" spans="2:12" x14ac:dyDescent="0.25">
      <c r="C6" s="168"/>
      <c r="F6" t="s">
        <v>275</v>
      </c>
      <c r="G6" s="168">
        <v>346</v>
      </c>
      <c r="H6" t="s">
        <v>67</v>
      </c>
      <c r="J6" s="78" t="s">
        <v>275</v>
      </c>
      <c r="K6" s="168">
        <v>346</v>
      </c>
      <c r="L6" s="78" t="s">
        <v>67</v>
      </c>
    </row>
    <row r="7" spans="2:12" x14ac:dyDescent="0.25">
      <c r="C7" s="168"/>
      <c r="F7" t="s">
        <v>276</v>
      </c>
      <c r="G7" s="168">
        <v>50</v>
      </c>
      <c r="H7" t="s">
        <v>67</v>
      </c>
      <c r="J7" s="78" t="s">
        <v>276</v>
      </c>
      <c r="K7" s="168">
        <v>65</v>
      </c>
      <c r="L7" s="78" t="s">
        <v>67</v>
      </c>
    </row>
    <row r="8" spans="2:12" x14ac:dyDescent="0.25">
      <c r="C8" s="168"/>
      <c r="F8" t="s">
        <v>277</v>
      </c>
      <c r="G8" s="168">
        <v>40</v>
      </c>
      <c r="H8" t="s">
        <v>67</v>
      </c>
      <c r="J8" s="78" t="s">
        <v>277</v>
      </c>
      <c r="K8" s="168">
        <v>60</v>
      </c>
      <c r="L8" s="78" t="s">
        <v>67</v>
      </c>
    </row>
    <row r="9" spans="2:12" x14ac:dyDescent="0.25">
      <c r="C9" s="168"/>
      <c r="F9" t="s">
        <v>278</v>
      </c>
      <c r="G9" s="168">
        <v>30</v>
      </c>
      <c r="H9" t="s">
        <v>67</v>
      </c>
      <c r="J9" s="78" t="s">
        <v>278</v>
      </c>
      <c r="K9" s="168">
        <v>35</v>
      </c>
      <c r="L9" s="78" t="s">
        <v>67</v>
      </c>
    </row>
    <row r="10" spans="2:12" x14ac:dyDescent="0.25">
      <c r="C10" s="168"/>
      <c r="F10" t="s">
        <v>279</v>
      </c>
      <c r="G10" s="168">
        <v>-2</v>
      </c>
      <c r="H10" t="s">
        <v>299</v>
      </c>
      <c r="J10" s="78" t="s">
        <v>279</v>
      </c>
      <c r="K10" s="168">
        <v>-1</v>
      </c>
      <c r="L10" s="78" t="s">
        <v>299</v>
      </c>
    </row>
    <row r="11" spans="2:12" x14ac:dyDescent="0.25">
      <c r="C11" s="366"/>
      <c r="F11" t="s">
        <v>280</v>
      </c>
      <c r="G11" s="366" t="s">
        <v>305</v>
      </c>
      <c r="H11" t="s">
        <v>299</v>
      </c>
      <c r="J11" s="78" t="s">
        <v>280</v>
      </c>
      <c r="K11" s="366" t="s">
        <v>310</v>
      </c>
      <c r="L11" s="78" t="s">
        <v>299</v>
      </c>
    </row>
    <row r="12" spans="2:12" x14ac:dyDescent="0.25">
      <c r="C12" s="168"/>
      <c r="F12" t="s">
        <v>281</v>
      </c>
      <c r="G12" s="168">
        <v>0.25</v>
      </c>
      <c r="H12" t="s">
        <v>299</v>
      </c>
      <c r="J12" s="78" t="s">
        <v>281</v>
      </c>
      <c r="K12" s="168">
        <v>0.25</v>
      </c>
      <c r="L12" s="78" t="s">
        <v>299</v>
      </c>
    </row>
    <row r="13" spans="2:12" x14ac:dyDescent="0.25">
      <c r="C13" s="168"/>
      <c r="F13" t="s">
        <v>282</v>
      </c>
      <c r="G13" s="370">
        <v>0.2</v>
      </c>
      <c r="H13" t="s">
        <v>307</v>
      </c>
      <c r="J13" s="78" t="s">
        <v>282</v>
      </c>
      <c r="K13" s="168">
        <v>0.26</v>
      </c>
      <c r="L13" s="78" t="s">
        <v>307</v>
      </c>
    </row>
    <row r="14" spans="2:12" x14ac:dyDescent="0.25">
      <c r="C14" s="168"/>
      <c r="F14" t="s">
        <v>283</v>
      </c>
      <c r="G14" s="168">
        <v>0</v>
      </c>
      <c r="H14" t="s">
        <v>299</v>
      </c>
      <c r="J14" s="78" t="s">
        <v>283</v>
      </c>
      <c r="K14" s="168">
        <v>0</v>
      </c>
      <c r="L14" s="78" t="s">
        <v>299</v>
      </c>
    </row>
    <row r="15" spans="2:12" x14ac:dyDescent="0.25">
      <c r="C15" s="367"/>
      <c r="D15" s="180"/>
      <c r="F15" t="s">
        <v>284</v>
      </c>
      <c r="G15" s="367">
        <v>6</v>
      </c>
      <c r="H15" s="180" t="s">
        <v>300</v>
      </c>
      <c r="J15" s="78" t="s">
        <v>284</v>
      </c>
      <c r="K15" s="367">
        <v>6</v>
      </c>
      <c r="L15" s="180" t="s">
        <v>300</v>
      </c>
    </row>
    <row r="16" spans="2:12" x14ac:dyDescent="0.25">
      <c r="C16" s="367"/>
      <c r="D16" s="180"/>
      <c r="F16" t="s">
        <v>285</v>
      </c>
      <c r="G16" s="367">
        <v>1</v>
      </c>
      <c r="H16" s="180" t="s">
        <v>300</v>
      </c>
      <c r="J16" s="78" t="s">
        <v>285</v>
      </c>
      <c r="K16" s="367">
        <v>1</v>
      </c>
      <c r="L16" s="180" t="s">
        <v>300</v>
      </c>
    </row>
    <row r="17" spans="3:12" x14ac:dyDescent="0.25">
      <c r="C17" s="168"/>
      <c r="F17" t="s">
        <v>286</v>
      </c>
      <c r="G17" s="168" t="s">
        <v>306</v>
      </c>
      <c r="H17" t="s">
        <v>301</v>
      </c>
      <c r="J17" s="78" t="s">
        <v>286</v>
      </c>
      <c r="K17" s="168" t="s">
        <v>306</v>
      </c>
      <c r="L17" s="78" t="s">
        <v>301</v>
      </c>
    </row>
    <row r="18" spans="3:12" x14ac:dyDescent="0.25">
      <c r="C18" s="168"/>
      <c r="F18" t="s">
        <v>287</v>
      </c>
      <c r="G18" s="168">
        <v>-4</v>
      </c>
      <c r="H18" t="s">
        <v>302</v>
      </c>
      <c r="J18" s="78" t="s">
        <v>287</v>
      </c>
      <c r="K18" s="168">
        <v>-4</v>
      </c>
      <c r="L18" s="78" t="s">
        <v>302</v>
      </c>
    </row>
    <row r="19" spans="3:12" x14ac:dyDescent="0.25">
      <c r="C19" s="168"/>
      <c r="F19" t="s">
        <v>288</v>
      </c>
      <c r="G19" s="168">
        <v>5.64</v>
      </c>
      <c r="H19" t="s">
        <v>299</v>
      </c>
      <c r="J19" s="78" t="s">
        <v>288</v>
      </c>
      <c r="K19" s="168" t="s">
        <v>311</v>
      </c>
      <c r="L19" s="78" t="s">
        <v>299</v>
      </c>
    </row>
    <row r="20" spans="3:12" x14ac:dyDescent="0.25">
      <c r="C20" s="168"/>
      <c r="F20" t="s">
        <v>289</v>
      </c>
      <c r="G20" s="168">
        <v>23.41</v>
      </c>
      <c r="H20" t="s">
        <v>67</v>
      </c>
      <c r="J20" s="78" t="s">
        <v>289</v>
      </c>
      <c r="K20" s="168" t="s">
        <v>311</v>
      </c>
      <c r="L20" s="78" t="s">
        <v>67</v>
      </c>
    </row>
    <row r="21" spans="3:12" x14ac:dyDescent="0.25">
      <c r="C21" s="168"/>
      <c r="F21" t="s">
        <v>290</v>
      </c>
      <c r="G21" s="168">
        <v>14.32</v>
      </c>
      <c r="H21" t="s">
        <v>299</v>
      </c>
      <c r="J21" s="78" t="s">
        <v>290</v>
      </c>
      <c r="K21" s="168" t="s">
        <v>311</v>
      </c>
      <c r="L21" s="78" t="s">
        <v>299</v>
      </c>
    </row>
    <row r="22" spans="3:12" x14ac:dyDescent="0.25">
      <c r="C22" s="168"/>
      <c r="F22" t="s">
        <v>291</v>
      </c>
      <c r="G22" s="168">
        <v>61.62</v>
      </c>
      <c r="H22" t="s">
        <v>67</v>
      </c>
      <c r="J22" s="78" t="s">
        <v>291</v>
      </c>
      <c r="K22" s="168" t="s">
        <v>311</v>
      </c>
      <c r="L22" s="78" t="s">
        <v>67</v>
      </c>
    </row>
    <row r="23" spans="3:12" x14ac:dyDescent="0.25">
      <c r="C23" s="168"/>
      <c r="F23" s="515" t="s">
        <v>292</v>
      </c>
      <c r="G23" s="168">
        <v>52.64</v>
      </c>
      <c r="H23" t="s">
        <v>67</v>
      </c>
      <c r="J23" s="515" t="s">
        <v>292</v>
      </c>
      <c r="K23" s="168">
        <v>102</v>
      </c>
      <c r="L23" s="78" t="s">
        <v>67</v>
      </c>
    </row>
    <row r="24" spans="3:12" x14ac:dyDescent="0.25">
      <c r="C24" s="168"/>
      <c r="F24" t="s">
        <v>293</v>
      </c>
      <c r="G24" s="372">
        <v>0.71</v>
      </c>
      <c r="H24" t="s">
        <v>318</v>
      </c>
      <c r="J24" s="78" t="s">
        <v>293</v>
      </c>
      <c r="K24" s="372">
        <v>0.23</v>
      </c>
      <c r="L24" s="78" t="s">
        <v>318</v>
      </c>
    </row>
    <row r="25" spans="3:12" x14ac:dyDescent="0.25">
      <c r="C25" s="368"/>
      <c r="F25" s="78" t="s">
        <v>319</v>
      </c>
      <c r="G25" s="168">
        <v>1.71</v>
      </c>
      <c r="H25" s="78" t="s">
        <v>318</v>
      </c>
      <c r="J25" s="78" t="s">
        <v>319</v>
      </c>
      <c r="K25" s="168">
        <v>1.22</v>
      </c>
      <c r="L25" s="78" t="s">
        <v>318</v>
      </c>
    </row>
    <row r="26" spans="3:12" x14ac:dyDescent="0.25">
      <c r="C26" s="369"/>
      <c r="F26" s="515" t="s">
        <v>294</v>
      </c>
      <c r="G26" s="371">
        <v>0.81499999999999995</v>
      </c>
      <c r="H26" t="s">
        <v>303</v>
      </c>
      <c r="J26" s="515" t="s">
        <v>312</v>
      </c>
      <c r="K26" s="371">
        <v>0.4</v>
      </c>
      <c r="L26" s="78" t="s">
        <v>303</v>
      </c>
    </row>
    <row r="27" spans="3:12" x14ac:dyDescent="0.25">
      <c r="C27" s="370"/>
      <c r="F27" t="s">
        <v>295</v>
      </c>
      <c r="G27" s="369">
        <v>9.5000000000000001E-2</v>
      </c>
      <c r="H27" t="s">
        <v>303</v>
      </c>
      <c r="J27" s="515" t="s">
        <v>313</v>
      </c>
      <c r="K27" s="369">
        <v>0.16</v>
      </c>
      <c r="L27" s="78" t="s">
        <v>303</v>
      </c>
    </row>
    <row r="28" spans="3:12" x14ac:dyDescent="0.25">
      <c r="C28" s="370"/>
      <c r="F28" t="s">
        <v>296</v>
      </c>
      <c r="G28" s="370">
        <v>0.8</v>
      </c>
      <c r="H28" t="s">
        <v>303</v>
      </c>
      <c r="J28" s="78" t="s">
        <v>296</v>
      </c>
      <c r="K28" s="370">
        <v>0.8</v>
      </c>
      <c r="L28" s="78" t="s">
        <v>303</v>
      </c>
    </row>
    <row r="29" spans="3:12" x14ac:dyDescent="0.25">
      <c r="C29" s="168"/>
      <c r="F29" t="s">
        <v>297</v>
      </c>
      <c r="G29" s="370">
        <v>1.2</v>
      </c>
      <c r="H29" t="s">
        <v>303</v>
      </c>
      <c r="J29" s="78" t="s">
        <v>297</v>
      </c>
      <c r="K29" s="370">
        <v>0.9</v>
      </c>
      <c r="L29" s="78" t="s">
        <v>303</v>
      </c>
    </row>
    <row r="30" spans="3:12" x14ac:dyDescent="0.25">
      <c r="F30" t="s">
        <v>298</v>
      </c>
      <c r="G30" s="168">
        <v>8.99</v>
      </c>
      <c r="H30" t="s">
        <v>304</v>
      </c>
      <c r="J30" s="78" t="s">
        <v>308</v>
      </c>
      <c r="K30" s="168">
        <v>6.07</v>
      </c>
      <c r="L30" s="78" t="s">
        <v>304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E397-2C54-47DE-8739-F566E89440C0}">
  <sheetPr codeName="Sheet29"/>
  <dimension ref="B1:P17"/>
  <sheetViews>
    <sheetView showGridLines="0" workbookViewId="0"/>
  </sheetViews>
  <sheetFormatPr defaultColWidth="9.140625" defaultRowHeight="15" x14ac:dyDescent="0.25"/>
  <cols>
    <col min="1" max="1" width="3.7109375" style="380" customWidth="1"/>
    <col min="2" max="2" width="9.140625" style="380"/>
    <col min="3" max="4" width="12.7109375" style="380" customWidth="1"/>
    <col min="5" max="5" width="9.140625" style="380"/>
    <col min="6" max="6" width="11.42578125" style="380" bestFit="1" customWidth="1"/>
    <col min="7" max="10" width="9.140625" style="380"/>
    <col min="11" max="11" width="12" style="380" bestFit="1" customWidth="1"/>
    <col min="12" max="16384" width="9.140625" style="380"/>
  </cols>
  <sheetData>
    <row r="1" spans="2:16" ht="15.75" thickBot="1" x14ac:dyDescent="0.3"/>
    <row r="2" spans="2:16" x14ac:dyDescent="0.25">
      <c r="B2" s="1238" t="s">
        <v>109</v>
      </c>
      <c r="C2" s="1239"/>
      <c r="D2" s="1239"/>
      <c r="E2" s="1239"/>
      <c r="F2" s="1239"/>
      <c r="G2" s="1239"/>
      <c r="H2" s="1239"/>
      <c r="I2" s="1239"/>
      <c r="J2" s="1239"/>
      <c r="K2" s="1239"/>
      <c r="L2" s="1239"/>
      <c r="M2" s="1239"/>
      <c r="N2" s="1240"/>
      <c r="P2" s="84" t="s">
        <v>62</v>
      </c>
    </row>
    <row r="3" spans="2:16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P3" s="180" t="s">
        <v>129</v>
      </c>
    </row>
    <row r="4" spans="2:16" x14ac:dyDescent="0.25">
      <c r="B4" s="99"/>
      <c r="C4" s="86" t="s">
        <v>110</v>
      </c>
      <c r="D4" s="70">
        <v>7500</v>
      </c>
      <c r="E4" s="381"/>
      <c r="F4" s="383" t="s">
        <v>266</v>
      </c>
      <c r="G4" s="80"/>
      <c r="H4" s="80" t="s">
        <v>267</v>
      </c>
      <c r="I4" s="72"/>
      <c r="J4" s="381"/>
      <c r="K4" s="383" t="s">
        <v>266</v>
      </c>
      <c r="L4" s="80"/>
      <c r="M4" s="80" t="s">
        <v>267</v>
      </c>
      <c r="N4" s="143"/>
    </row>
    <row r="5" spans="2:16" ht="15.75" thickBot="1" x14ac:dyDescent="0.3">
      <c r="B5" s="99"/>
      <c r="C5" s="141" t="s">
        <v>111</v>
      </c>
      <c r="D5" s="142">
        <v>0.34799999999999998</v>
      </c>
      <c r="E5" s="381"/>
      <c r="F5" s="95">
        <v>23</v>
      </c>
      <c r="G5" s="96">
        <v>21</v>
      </c>
      <c r="H5" s="96">
        <v>13</v>
      </c>
      <c r="I5" s="97">
        <v>43</v>
      </c>
      <c r="J5" s="381"/>
      <c r="K5" s="95">
        <v>23</v>
      </c>
      <c r="L5" s="96">
        <v>21</v>
      </c>
      <c r="M5" s="96">
        <v>13</v>
      </c>
      <c r="N5" s="144">
        <v>43</v>
      </c>
    </row>
    <row r="6" spans="2:16" x14ac:dyDescent="0.25">
      <c r="B6" s="99"/>
      <c r="C6" s="381"/>
      <c r="D6" s="381"/>
      <c r="E6" s="381"/>
      <c r="F6" s="381"/>
      <c r="G6" s="82"/>
      <c r="H6" s="381"/>
      <c r="I6" s="381"/>
      <c r="J6" s="381"/>
      <c r="K6" s="381"/>
      <c r="L6" s="381"/>
      <c r="M6" s="381"/>
      <c r="N6" s="87"/>
    </row>
    <row r="7" spans="2:16" x14ac:dyDescent="0.25">
      <c r="B7" s="99"/>
      <c r="C7" s="381"/>
      <c r="D7" s="381"/>
      <c r="E7" s="381"/>
      <c r="F7" s="381"/>
      <c r="G7" s="82" t="s">
        <v>117</v>
      </c>
      <c r="H7" s="381"/>
      <c r="I7" s="163">
        <f>I5*G5/H5/F5</f>
        <v>3.0200668896321075</v>
      </c>
      <c r="J7" s="381"/>
      <c r="K7" s="381"/>
      <c r="L7" s="82" t="s">
        <v>117</v>
      </c>
      <c r="M7" s="381"/>
      <c r="N7" s="146">
        <f>N5*L5/M5/K5</f>
        <v>3.0200668896321075</v>
      </c>
    </row>
    <row r="8" spans="2:16" x14ac:dyDescent="0.25">
      <c r="B8" s="99"/>
      <c r="C8" s="381"/>
      <c r="D8" s="381"/>
      <c r="E8" s="381"/>
      <c r="F8" s="381"/>
      <c r="G8" s="381"/>
      <c r="H8" s="381"/>
      <c r="I8" s="381"/>
      <c r="J8" s="381"/>
      <c r="K8" s="381"/>
      <c r="L8" s="381"/>
      <c r="M8" s="381"/>
      <c r="N8" s="87"/>
    </row>
    <row r="9" spans="2:16" x14ac:dyDescent="0.25">
      <c r="B9" s="99"/>
      <c r="C9" s="381"/>
      <c r="D9" s="381"/>
      <c r="E9" s="381"/>
      <c r="F9" s="381"/>
      <c r="G9" s="381"/>
      <c r="H9" s="381"/>
      <c r="J9" s="381"/>
      <c r="K9" s="381"/>
      <c r="L9" s="381"/>
      <c r="M9" s="381"/>
      <c r="N9" s="87"/>
    </row>
    <row r="10" spans="2:16" x14ac:dyDescent="0.25">
      <c r="B10" s="358" t="s">
        <v>265</v>
      </c>
      <c r="C10" s="359" t="s">
        <v>115</v>
      </c>
      <c r="D10" s="360" t="s">
        <v>433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433</v>
      </c>
      <c r="L10" s="362" t="s">
        <v>112</v>
      </c>
      <c r="M10" s="362" t="s">
        <v>113</v>
      </c>
      <c r="N10" s="363" t="s">
        <v>114</v>
      </c>
    </row>
    <row r="11" spans="2:16" x14ac:dyDescent="0.25">
      <c r="B11" s="90">
        <v>1</v>
      </c>
      <c r="C11" s="165">
        <v>2.8461538461538463</v>
      </c>
      <c r="D11" s="167">
        <f>37/14</f>
        <v>2.6428571428571428</v>
      </c>
      <c r="E11" s="381"/>
      <c r="F11" s="157">
        <f t="shared" ref="F11:F17" si="0">$D$4/60*6.28/(C11*$N$5/$M$5*$L$5/$K$5)*$D$5*3.6</f>
        <v>114.41328831821855</v>
      </c>
      <c r="G11" s="147"/>
      <c r="H11" s="147"/>
      <c r="I11" s="74"/>
      <c r="J11" s="381"/>
      <c r="K11" s="155">
        <f t="shared" ref="K11:K17" si="1">$D$4/60*6.28/(D11*$I$5/$H$5*$G$5/$F$5)*$D$5*3.6</f>
        <v>123.21431049654306</v>
      </c>
      <c r="L11" s="147"/>
      <c r="M11" s="147"/>
      <c r="N11" s="149"/>
    </row>
    <row r="12" spans="2:16" x14ac:dyDescent="0.25">
      <c r="B12" s="90">
        <v>2</v>
      </c>
      <c r="C12" s="165">
        <v>2.2000000000000002</v>
      </c>
      <c r="D12" s="167">
        <f>33/16</f>
        <v>2.0625</v>
      </c>
      <c r="E12" s="381"/>
      <c r="F12" s="157">
        <f t="shared" si="0"/>
        <v>148.01719118091208</v>
      </c>
      <c r="G12" s="159">
        <f t="shared" ref="G12:G17" si="2">F11/F12*$D$4</f>
        <v>5797.2972972972984</v>
      </c>
      <c r="H12" s="148">
        <f t="shared" ref="H12:H17" si="3">$D$4-G12</f>
        <v>1702.7027027027016</v>
      </c>
      <c r="I12" s="150">
        <f t="shared" ref="I12:I17" si="4">F12-F11</f>
        <v>33.603902862693531</v>
      </c>
      <c r="J12" s="381"/>
      <c r="K12" s="155">
        <f t="shared" si="1"/>
        <v>157.88500392630624</v>
      </c>
      <c r="L12" s="148">
        <f t="shared" ref="L12:L17" si="5">K11/K12*$D$4</f>
        <v>5853.0405405405409</v>
      </c>
      <c r="M12" s="148">
        <f t="shared" ref="M12:M17" si="6">$D$4-L12</f>
        <v>1646.9594594594591</v>
      </c>
      <c r="N12" s="151">
        <f t="shared" ref="N12:N17" si="7">K12-K11</f>
        <v>34.670693429763176</v>
      </c>
    </row>
    <row r="13" spans="2:16" x14ac:dyDescent="0.25">
      <c r="B13" s="90">
        <v>3</v>
      </c>
      <c r="C13" s="165">
        <v>1.8</v>
      </c>
      <c r="D13" s="167">
        <f>33/20</f>
        <v>1.65</v>
      </c>
      <c r="E13" s="381"/>
      <c r="F13" s="157">
        <f t="shared" si="0"/>
        <v>180.9099003322259</v>
      </c>
      <c r="G13" s="159">
        <f t="shared" si="2"/>
        <v>6136.3636363636351</v>
      </c>
      <c r="H13" s="148">
        <f t="shared" si="3"/>
        <v>1363.6363636363649</v>
      </c>
      <c r="I13" s="150">
        <f t="shared" si="4"/>
        <v>32.892709151313824</v>
      </c>
      <c r="J13" s="381"/>
      <c r="K13" s="155">
        <f t="shared" si="1"/>
        <v>197.35625490788283</v>
      </c>
      <c r="L13" s="148">
        <f t="shared" si="5"/>
        <v>5999.9999999999991</v>
      </c>
      <c r="M13" s="148">
        <f t="shared" si="6"/>
        <v>1500.0000000000009</v>
      </c>
      <c r="N13" s="151">
        <f t="shared" si="7"/>
        <v>39.471250981576588</v>
      </c>
    </row>
    <row r="14" spans="2:16" x14ac:dyDescent="0.25">
      <c r="B14" s="90">
        <v>4</v>
      </c>
      <c r="C14" s="165">
        <v>1.4736842105263157</v>
      </c>
      <c r="D14" s="167">
        <f>30/22</f>
        <v>1.3636363636363635</v>
      </c>
      <c r="E14" s="381"/>
      <c r="F14" s="157">
        <f t="shared" si="0"/>
        <v>220.96852112007596</v>
      </c>
      <c r="G14" s="159">
        <f t="shared" si="2"/>
        <v>6140.350877192981</v>
      </c>
      <c r="H14" s="148">
        <f t="shared" si="3"/>
        <v>1359.649122807019</v>
      </c>
      <c r="I14" s="150">
        <f t="shared" si="4"/>
        <v>40.05862078785006</v>
      </c>
      <c r="J14" s="381"/>
      <c r="K14" s="155">
        <f t="shared" si="1"/>
        <v>238.80106843853821</v>
      </c>
      <c r="L14" s="148">
        <f t="shared" si="5"/>
        <v>6198.3471074380168</v>
      </c>
      <c r="M14" s="148">
        <f t="shared" si="6"/>
        <v>1301.6528925619832</v>
      </c>
      <c r="N14" s="151">
        <f t="shared" si="7"/>
        <v>41.444813530655381</v>
      </c>
    </row>
    <row r="15" spans="2:16" x14ac:dyDescent="0.25">
      <c r="B15" s="90">
        <v>5</v>
      </c>
      <c r="C15" s="165">
        <v>1.2380952380952381</v>
      </c>
      <c r="D15" s="167">
        <f>29/24</f>
        <v>1.2083333333333333</v>
      </c>
      <c r="E15" s="381"/>
      <c r="F15" s="157">
        <f t="shared" si="0"/>
        <v>263.01516279069762</v>
      </c>
      <c r="G15" s="159">
        <f t="shared" si="2"/>
        <v>6301.0204081632673</v>
      </c>
      <c r="H15" s="148">
        <f t="shared" si="3"/>
        <v>1198.9795918367327</v>
      </c>
      <c r="I15" s="150">
        <f t="shared" si="4"/>
        <v>42.046641670621653</v>
      </c>
      <c r="J15" s="381"/>
      <c r="K15" s="155">
        <f t="shared" si="1"/>
        <v>269.49336877076416</v>
      </c>
      <c r="L15" s="148">
        <f t="shared" si="5"/>
        <v>6645.8333333333321</v>
      </c>
      <c r="M15" s="148">
        <f t="shared" si="6"/>
        <v>854.16666666666788</v>
      </c>
      <c r="N15" s="151">
        <f t="shared" si="7"/>
        <v>30.692300332225955</v>
      </c>
    </row>
    <row r="16" spans="2:16" x14ac:dyDescent="0.25">
      <c r="B16" s="90">
        <v>6</v>
      </c>
      <c r="C16" s="165">
        <v>1.091</v>
      </c>
      <c r="D16" s="167">
        <f>30/28</f>
        <v>1.0714285714285714</v>
      </c>
      <c r="E16" s="381"/>
      <c r="F16" s="157">
        <f t="shared" si="0"/>
        <v>298.47646250963027</v>
      </c>
      <c r="G16" s="159">
        <f t="shared" si="2"/>
        <v>6608.9423076923067</v>
      </c>
      <c r="H16" s="148">
        <f t="shared" si="3"/>
        <v>891.05769230769329</v>
      </c>
      <c r="I16" s="150">
        <f t="shared" si="4"/>
        <v>35.461299718932651</v>
      </c>
      <c r="J16" s="381"/>
      <c r="K16" s="155">
        <f t="shared" si="1"/>
        <v>303.9286325581395</v>
      </c>
      <c r="L16" s="148">
        <f t="shared" si="5"/>
        <v>6650.246305418721</v>
      </c>
      <c r="M16" s="148">
        <f t="shared" si="6"/>
        <v>849.75369458127898</v>
      </c>
      <c r="N16" s="151">
        <f t="shared" si="7"/>
        <v>34.435263787375334</v>
      </c>
    </row>
    <row r="17" spans="2:14" ht="15.75" thickBot="1" x14ac:dyDescent="0.3">
      <c r="B17" s="91">
        <v>7</v>
      </c>
      <c r="C17" s="161">
        <v>0.96</v>
      </c>
      <c r="D17" s="543">
        <f>24/25</f>
        <v>0.96</v>
      </c>
      <c r="E17" s="88"/>
      <c r="F17" s="158">
        <f t="shared" si="0"/>
        <v>339.20606312292352</v>
      </c>
      <c r="G17" s="160">
        <f t="shared" si="2"/>
        <v>6599.4500458295151</v>
      </c>
      <c r="H17" s="152">
        <f t="shared" si="3"/>
        <v>900.54995417048485</v>
      </c>
      <c r="I17" s="153">
        <f t="shared" si="4"/>
        <v>40.729600613293258</v>
      </c>
      <c r="J17" s="88"/>
      <c r="K17" s="156">
        <f t="shared" si="1"/>
        <v>339.20606312292352</v>
      </c>
      <c r="L17" s="152">
        <f t="shared" si="5"/>
        <v>6720</v>
      </c>
      <c r="M17" s="152">
        <f t="shared" si="6"/>
        <v>780</v>
      </c>
      <c r="N17" s="154">
        <f t="shared" si="7"/>
        <v>35.277430564784027</v>
      </c>
    </row>
  </sheetData>
  <mergeCells count="1">
    <mergeCell ref="B2:N2"/>
  </mergeCells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9265-FAFC-4EC3-B842-63861F5698ED}">
  <sheetPr codeName="Sheet30"/>
  <dimension ref="B2:O31"/>
  <sheetViews>
    <sheetView zoomScaleNormal="100" workbookViewId="0">
      <selection activeCell="G21" sqref="G21"/>
    </sheetView>
  </sheetViews>
  <sheetFormatPr defaultRowHeight="15" x14ac:dyDescent="0.25"/>
  <cols>
    <col min="1" max="1" width="3.7109375" customWidth="1"/>
    <col min="2" max="2" width="4" style="71" customWidth="1"/>
    <col min="11" max="11" width="3.7109375" customWidth="1"/>
    <col min="12" max="12" width="11.85546875" bestFit="1" customWidth="1"/>
  </cols>
  <sheetData>
    <row r="2" spans="2:15" x14ac:dyDescent="0.25">
      <c r="B2" s="788"/>
      <c r="C2" s="791" t="s">
        <v>504</v>
      </c>
      <c r="D2" s="171"/>
      <c r="E2" s="171"/>
      <c r="F2" s="171"/>
      <c r="G2" s="791" t="s">
        <v>596</v>
      </c>
      <c r="H2" s="171"/>
      <c r="I2" s="171"/>
      <c r="J2" s="792"/>
      <c r="L2" s="793">
        <v>44289</v>
      </c>
    </row>
    <row r="3" spans="2:15" x14ac:dyDescent="0.25">
      <c r="B3" s="670" t="s">
        <v>254</v>
      </c>
      <c r="C3" s="94" t="s">
        <v>537</v>
      </c>
      <c r="D3" s="381" t="s">
        <v>538</v>
      </c>
      <c r="E3" s="381" t="s">
        <v>539</v>
      </c>
      <c r="F3" s="381" t="s">
        <v>540</v>
      </c>
      <c r="G3" s="94" t="s">
        <v>537</v>
      </c>
      <c r="H3" s="381" t="s">
        <v>538</v>
      </c>
      <c r="I3" s="381" t="s">
        <v>539</v>
      </c>
      <c r="J3" s="382" t="s">
        <v>540</v>
      </c>
      <c r="L3" t="s">
        <v>600</v>
      </c>
    </row>
    <row r="4" spans="2:15" x14ac:dyDescent="0.25">
      <c r="B4" s="670">
        <v>1</v>
      </c>
      <c r="C4" s="94">
        <v>0</v>
      </c>
      <c r="D4" s="381">
        <v>0</v>
      </c>
      <c r="E4" s="540">
        <v>0</v>
      </c>
      <c r="F4" s="540">
        <v>0</v>
      </c>
      <c r="G4" s="94">
        <v>-730</v>
      </c>
      <c r="H4" s="540">
        <v>-795</v>
      </c>
      <c r="I4" s="540">
        <v>-1430</v>
      </c>
      <c r="J4" s="790">
        <v>-1300</v>
      </c>
      <c r="L4" t="s">
        <v>601</v>
      </c>
    </row>
    <row r="5" spans="2:15" x14ac:dyDescent="0.25">
      <c r="B5" s="670">
        <v>2</v>
      </c>
      <c r="C5" s="94">
        <v>53</v>
      </c>
      <c r="D5" s="381">
        <v>85</v>
      </c>
      <c r="E5" s="540">
        <v>79</v>
      </c>
      <c r="F5" s="540">
        <v>51.5</v>
      </c>
      <c r="G5" s="94">
        <v>20</v>
      </c>
      <c r="H5" s="540">
        <v>280</v>
      </c>
      <c r="I5" s="540">
        <v>240</v>
      </c>
      <c r="J5" s="790">
        <v>-130</v>
      </c>
      <c r="L5" t="s">
        <v>602</v>
      </c>
    </row>
    <row r="6" spans="2:15" x14ac:dyDescent="0.25">
      <c r="B6" s="670">
        <v>3</v>
      </c>
      <c r="C6" s="94">
        <v>79.5</v>
      </c>
      <c r="D6" s="381">
        <v>119</v>
      </c>
      <c r="E6" s="540">
        <v>116</v>
      </c>
      <c r="F6" s="540">
        <v>79</v>
      </c>
      <c r="G6" s="94">
        <v>200</v>
      </c>
      <c r="H6" s="540">
        <v>760</v>
      </c>
      <c r="I6" s="540">
        <v>1010</v>
      </c>
      <c r="J6" s="790">
        <v>330</v>
      </c>
    </row>
    <row r="7" spans="2:15" x14ac:dyDescent="0.25">
      <c r="B7" s="670">
        <v>4</v>
      </c>
      <c r="C7" s="94">
        <v>107</v>
      </c>
      <c r="D7" s="540">
        <v>153.5</v>
      </c>
      <c r="E7" s="540">
        <v>161</v>
      </c>
      <c r="F7" s="540">
        <v>116</v>
      </c>
      <c r="G7" s="94">
        <v>630</v>
      </c>
      <c r="H7" s="540">
        <v>1295</v>
      </c>
      <c r="I7" s="540">
        <v>2000</v>
      </c>
      <c r="J7" s="790">
        <v>1240</v>
      </c>
      <c r="L7" t="s">
        <v>603</v>
      </c>
      <c r="M7">
        <f>C11+D11+E11+F11</f>
        <v>1158.5</v>
      </c>
      <c r="N7" t="s">
        <v>198</v>
      </c>
      <c r="O7" t="s">
        <v>605</v>
      </c>
    </row>
    <row r="8" spans="2:15" x14ac:dyDescent="0.25">
      <c r="B8" s="670">
        <v>5</v>
      </c>
      <c r="C8" s="94">
        <v>138</v>
      </c>
      <c r="D8" s="540">
        <v>186.5</v>
      </c>
      <c r="E8" s="540">
        <v>199</v>
      </c>
      <c r="F8" s="540">
        <v>156</v>
      </c>
      <c r="G8" s="94">
        <v>1070</v>
      </c>
      <c r="H8" s="540">
        <v>1760</v>
      </c>
      <c r="I8" s="540">
        <v>2870</v>
      </c>
      <c r="J8" s="790">
        <v>2110</v>
      </c>
      <c r="L8" t="s">
        <v>604</v>
      </c>
      <c r="M8" s="454">
        <f>SUM(C11:D11)/SUM(C11:F11)</f>
        <v>0.43763487268018991</v>
      </c>
    </row>
    <row r="9" spans="2:15" x14ac:dyDescent="0.25">
      <c r="B9" s="670">
        <v>6</v>
      </c>
      <c r="C9" s="94">
        <v>164</v>
      </c>
      <c r="D9" s="540">
        <v>214.5</v>
      </c>
      <c r="E9" s="540">
        <v>233.5</v>
      </c>
      <c r="F9" s="540">
        <v>190</v>
      </c>
      <c r="G9" s="94">
        <v>1460</v>
      </c>
      <c r="H9" s="540">
        <v>2160</v>
      </c>
      <c r="I9" s="540">
        <v>3640</v>
      </c>
      <c r="J9" s="790">
        <v>2870</v>
      </c>
    </row>
    <row r="10" spans="2:15" x14ac:dyDescent="0.25">
      <c r="B10" s="670">
        <v>7</v>
      </c>
      <c r="C10" s="94">
        <v>203</v>
      </c>
      <c r="D10" s="540">
        <v>256</v>
      </c>
      <c r="E10" s="540">
        <v>285.5</v>
      </c>
      <c r="F10" s="540">
        <v>242</v>
      </c>
      <c r="G10" s="94">
        <v>2030</v>
      </c>
      <c r="H10" s="540">
        <v>2750</v>
      </c>
      <c r="I10" s="540">
        <v>4800</v>
      </c>
      <c r="J10" s="790">
        <v>4050</v>
      </c>
    </row>
    <row r="11" spans="2:15" x14ac:dyDescent="0.25">
      <c r="B11" s="670">
        <v>8</v>
      </c>
      <c r="C11" s="94">
        <v>228</v>
      </c>
      <c r="D11" s="540">
        <v>279</v>
      </c>
      <c r="E11" s="540">
        <v>347.5</v>
      </c>
      <c r="F11" s="540">
        <v>304</v>
      </c>
      <c r="G11" s="94">
        <v>2400</v>
      </c>
      <c r="H11" s="540">
        <v>3085</v>
      </c>
      <c r="I11" s="540">
        <v>6320</v>
      </c>
      <c r="J11" s="790">
        <v>5480</v>
      </c>
    </row>
    <row r="12" spans="2:15" x14ac:dyDescent="0.25">
      <c r="B12" s="670"/>
      <c r="C12" s="94"/>
      <c r="D12" s="381"/>
      <c r="E12" s="381"/>
      <c r="F12" s="381"/>
      <c r="G12" s="94"/>
      <c r="H12" s="381"/>
      <c r="I12" s="381"/>
      <c r="J12" s="382"/>
    </row>
    <row r="13" spans="2:15" x14ac:dyDescent="0.25">
      <c r="B13" s="670"/>
      <c r="C13" s="94"/>
      <c r="D13" s="381"/>
      <c r="E13" s="381"/>
      <c r="F13" s="381"/>
      <c r="G13" s="94"/>
      <c r="H13" s="381"/>
      <c r="I13" s="381"/>
      <c r="J13" s="382"/>
    </row>
    <row r="14" spans="2:15" x14ac:dyDescent="0.25">
      <c r="B14" s="670"/>
      <c r="C14" s="94"/>
      <c r="D14" s="381"/>
      <c r="E14" s="381"/>
      <c r="F14" s="381"/>
      <c r="G14" s="94"/>
      <c r="H14" s="381"/>
      <c r="I14" s="381"/>
      <c r="J14" s="382"/>
    </row>
    <row r="15" spans="2:15" x14ac:dyDescent="0.25">
      <c r="B15" s="670"/>
      <c r="C15" s="94"/>
      <c r="D15" s="381"/>
      <c r="E15" s="381"/>
      <c r="F15" s="381"/>
      <c r="G15" s="94"/>
      <c r="H15" s="381"/>
      <c r="I15" s="381"/>
      <c r="J15" s="382"/>
    </row>
    <row r="16" spans="2:15" x14ac:dyDescent="0.25">
      <c r="B16" s="672"/>
      <c r="C16" s="95"/>
      <c r="D16" s="96"/>
      <c r="E16" s="96"/>
      <c r="F16" s="96"/>
      <c r="G16" s="95"/>
      <c r="H16" s="96"/>
      <c r="I16" s="96"/>
      <c r="J16" s="97"/>
    </row>
    <row r="19" spans="2:10" x14ac:dyDescent="0.25">
      <c r="B19" s="788"/>
      <c r="C19" s="80" t="s">
        <v>599</v>
      </c>
      <c r="D19" s="172"/>
      <c r="E19" s="172"/>
      <c r="F19" s="172"/>
      <c r="G19" s="80" t="s">
        <v>598</v>
      </c>
      <c r="H19" s="172"/>
      <c r="I19" s="789"/>
    </row>
    <row r="20" spans="2:10" s="380" customFormat="1" x14ac:dyDescent="0.25">
      <c r="B20" s="670"/>
      <c r="C20" s="381" t="s">
        <v>139</v>
      </c>
      <c r="D20" s="381" t="s">
        <v>597</v>
      </c>
      <c r="E20" s="381"/>
      <c r="F20" s="381"/>
      <c r="G20" s="381" t="s">
        <v>139</v>
      </c>
      <c r="H20" s="381" t="s">
        <v>597</v>
      </c>
      <c r="I20" s="790"/>
    </row>
    <row r="21" spans="2:10" x14ac:dyDescent="0.25">
      <c r="B21" s="670" t="s">
        <v>537</v>
      </c>
      <c r="C21" s="381" cm="1">
        <f t="array" ref="C21:D21">LINEST(C4:C11*9.81,G4:G11,TRUE,FALSE)</f>
        <v>0.71137099328398112</v>
      </c>
      <c r="D21" s="381">
        <v>562.96479594367702</v>
      </c>
      <c r="E21" s="381"/>
      <c r="F21" s="381"/>
      <c r="G21" s="807">
        <f>(C21+C22)/2</f>
        <v>0.7043197424312484</v>
      </c>
      <c r="H21" s="176">
        <f>SUM(D21:D22)/2</f>
        <v>582.33160969813025</v>
      </c>
      <c r="I21" s="382" t="s">
        <v>182</v>
      </c>
    </row>
    <row r="22" spans="2:10" x14ac:dyDescent="0.25">
      <c r="B22" s="670" t="s">
        <v>538</v>
      </c>
      <c r="C22" s="381" cm="1">
        <f t="array" ref="C22:D22">LINEST(D4:D11*9.81,H4:H11,TRUE,FALSE)</f>
        <v>0.69726849157851556</v>
      </c>
      <c r="D22" s="381">
        <v>601.69842345258337</v>
      </c>
      <c r="E22" s="381"/>
      <c r="F22" s="381"/>
      <c r="G22" s="381"/>
      <c r="H22" s="381"/>
      <c r="I22" s="382"/>
    </row>
    <row r="23" spans="2:10" x14ac:dyDescent="0.25">
      <c r="B23" s="670" t="s">
        <v>539</v>
      </c>
      <c r="C23" s="381" cm="1">
        <f t="array" ref="C23:D23">LINEST(E4:E11*9.81,I4:I11,TRUE,FALSE)</f>
        <v>0.44058692194075255</v>
      </c>
      <c r="D23" s="381">
        <v>671.93742103154545</v>
      </c>
      <c r="E23" s="381"/>
      <c r="F23" s="381"/>
      <c r="G23" s="807">
        <f>(C23+C24)/2</f>
        <v>0.44028643444080673</v>
      </c>
      <c r="H23" s="176">
        <f>SUM(D23:D24)/2</f>
        <v>631.14939034804684</v>
      </c>
      <c r="I23" s="382" t="s">
        <v>182</v>
      </c>
    </row>
    <row r="24" spans="2:10" x14ac:dyDescent="0.25">
      <c r="B24" s="672" t="s">
        <v>540</v>
      </c>
      <c r="C24" s="96" cm="1">
        <f t="array" ref="C24:D24">LINEST(F4:F11*9.81,J4:J11,TRUE,FALSE)</f>
        <v>0.43998594694086096</v>
      </c>
      <c r="D24" s="96">
        <v>590.36135966454833</v>
      </c>
      <c r="E24" s="96"/>
      <c r="F24" s="96"/>
      <c r="G24" s="96"/>
      <c r="H24" s="654"/>
      <c r="I24" s="97"/>
    </row>
    <row r="25" spans="2:10" x14ac:dyDescent="0.25">
      <c r="H25" s="540"/>
    </row>
    <row r="26" spans="2:10" x14ac:dyDescent="0.25">
      <c r="H26" s="540"/>
    </row>
    <row r="27" spans="2:10" x14ac:dyDescent="0.25">
      <c r="C27">
        <f>SUM(G11:H11)*0.704</f>
        <v>3861.4399999999996</v>
      </c>
      <c r="H27" s="540"/>
    </row>
    <row r="28" spans="2:10" x14ac:dyDescent="0.25">
      <c r="C28">
        <f>(C11+D11)*9.81</f>
        <v>4973.67</v>
      </c>
      <c r="D28" s="453">
        <f>C28-C27</f>
        <v>1112.2300000000005</v>
      </c>
      <c r="G28">
        <f>G4*0.704/9.81</f>
        <v>-52.387359836901112</v>
      </c>
      <c r="H28" s="380">
        <f>H4*0.704/9.81</f>
        <v>-57.051987767584087</v>
      </c>
      <c r="I28" s="380">
        <f>I4*0.44/9.81</f>
        <v>-64.138634046890928</v>
      </c>
      <c r="J28" s="380">
        <f>J4*0.44/9.81</f>
        <v>-58.307849133537204</v>
      </c>
    </row>
    <row r="30" spans="2:10" x14ac:dyDescent="0.25">
      <c r="C30" s="380">
        <f>SUM(I11:J11)*0.44</f>
        <v>5192</v>
      </c>
    </row>
    <row r="31" spans="2:10" x14ac:dyDescent="0.25">
      <c r="C31" s="453">
        <f>(E11+F11)*9.81</f>
        <v>6391.2150000000001</v>
      </c>
      <c r="D31" s="453">
        <f>C31-C30</f>
        <v>1199.2150000000001</v>
      </c>
    </row>
  </sheetData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8AA8-4E55-402A-8C7B-0DB648CFD3B1}">
  <sheetPr codeName="Sheet31"/>
  <dimension ref="B1:W26"/>
  <sheetViews>
    <sheetView zoomScaleNormal="100" workbookViewId="0">
      <selection activeCell="J29" sqref="J29"/>
    </sheetView>
  </sheetViews>
  <sheetFormatPr defaultRowHeight="15" x14ac:dyDescent="0.25"/>
  <cols>
    <col min="1" max="1" width="3.7109375" customWidth="1"/>
    <col min="2" max="2" width="18.28515625" customWidth="1"/>
  </cols>
  <sheetData>
    <row r="1" spans="2:18" s="380" customFormat="1" x14ac:dyDescent="0.25"/>
    <row r="2" spans="2:18" x14ac:dyDescent="0.25">
      <c r="F2" t="s">
        <v>594</v>
      </c>
      <c r="H2" t="s">
        <v>595</v>
      </c>
      <c r="J2" t="s">
        <v>608</v>
      </c>
      <c r="K2" t="s">
        <v>609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  <c r="J3" s="786">
        <v>0</v>
      </c>
      <c r="K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  <c r="J4" s="786">
        <v>2</v>
      </c>
      <c r="K4" s="786">
        <v>2</v>
      </c>
    </row>
    <row r="5" spans="2:18" s="380" customFormat="1" x14ac:dyDescent="0.25">
      <c r="B5" s="785" t="s">
        <v>593</v>
      </c>
      <c r="C5" s="786">
        <v>10</v>
      </c>
      <c r="F5" s="786">
        <v>20</v>
      </c>
      <c r="H5" s="786">
        <v>20</v>
      </c>
      <c r="J5" s="786">
        <v>10</v>
      </c>
      <c r="K5" s="786">
        <v>10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  <c r="J6" s="786">
        <v>1</v>
      </c>
      <c r="K6" s="786">
        <v>1</v>
      </c>
    </row>
    <row r="7" spans="2:18" x14ac:dyDescent="0.25">
      <c r="B7" s="785" t="s">
        <v>587</v>
      </c>
      <c r="C7" s="786">
        <v>2</v>
      </c>
      <c r="F7" s="786">
        <v>1</v>
      </c>
      <c r="H7" s="786">
        <v>1</v>
      </c>
      <c r="J7" s="786">
        <v>1.5</v>
      </c>
      <c r="K7" s="786">
        <v>2</v>
      </c>
    </row>
    <row r="8" spans="2:18" s="380" customFormat="1" x14ac:dyDescent="0.25">
      <c r="B8" s="785" t="s">
        <v>607</v>
      </c>
      <c r="C8" s="786">
        <v>4</v>
      </c>
      <c r="F8" s="786"/>
      <c r="H8" s="786"/>
      <c r="J8" s="786">
        <v>3</v>
      </c>
      <c r="K8" s="786">
        <v>4</v>
      </c>
    </row>
    <row r="10" spans="2:18" x14ac:dyDescent="0.25">
      <c r="B10" s="785" t="s">
        <v>589</v>
      </c>
      <c r="C10" s="782" t="s">
        <v>591</v>
      </c>
      <c r="D10" s="783"/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3"/>
      <c r="R10" s="783"/>
    </row>
    <row r="11" spans="2:18" x14ac:dyDescent="0.25">
      <c r="B11" s="780" t="s">
        <v>590</v>
      </c>
      <c r="C11" s="783">
        <v>0</v>
      </c>
      <c r="D11" s="783">
        <v>1000</v>
      </c>
      <c r="E11" s="783">
        <v>2000</v>
      </c>
      <c r="F11" s="783">
        <v>3000</v>
      </c>
      <c r="G11" s="783">
        <v>4000</v>
      </c>
      <c r="H11" s="783">
        <v>5000</v>
      </c>
      <c r="I11" s="783">
        <v>6000</v>
      </c>
      <c r="J11" s="783">
        <v>7000</v>
      </c>
      <c r="K11" s="783">
        <v>8000</v>
      </c>
      <c r="L11" s="783">
        <v>9000</v>
      </c>
      <c r="M11" s="783">
        <v>10000</v>
      </c>
      <c r="N11" s="783">
        <v>11000</v>
      </c>
      <c r="O11" s="783">
        <v>12000</v>
      </c>
      <c r="P11" s="783">
        <v>13000</v>
      </c>
      <c r="Q11" s="783">
        <v>14000</v>
      </c>
      <c r="R11" s="783">
        <v>15000</v>
      </c>
    </row>
    <row r="12" spans="2:18" x14ac:dyDescent="0.25">
      <c r="B12" s="781">
        <v>0</v>
      </c>
      <c r="C12" s="784">
        <v>0</v>
      </c>
      <c r="D12" s="784">
        <v>0</v>
      </c>
      <c r="E12" s="784">
        <v>0</v>
      </c>
      <c r="F12" s="784">
        <v>0</v>
      </c>
      <c r="G12" s="784">
        <v>0</v>
      </c>
      <c r="H12" s="784">
        <v>0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2000</v>
      </c>
      <c r="C13" s="784">
        <v>10</v>
      </c>
      <c r="D13" s="784">
        <v>8.5</v>
      </c>
      <c r="E13" s="784">
        <v>7</v>
      </c>
      <c r="F13" s="784">
        <v>5</v>
      </c>
      <c r="G13" s="784">
        <v>3</v>
      </c>
      <c r="H13" s="784">
        <v>1</v>
      </c>
      <c r="I13" s="784">
        <v>0</v>
      </c>
      <c r="J13" s="784">
        <v>0</v>
      </c>
      <c r="K13" s="784">
        <v>0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4000</v>
      </c>
      <c r="C14" s="784">
        <v>10</v>
      </c>
      <c r="D14" s="784">
        <v>10</v>
      </c>
      <c r="E14" s="784">
        <v>9.5</v>
      </c>
      <c r="F14" s="784">
        <v>8.5</v>
      </c>
      <c r="G14" s="784">
        <v>7.5</v>
      </c>
      <c r="H14" s="784">
        <v>5.5</v>
      </c>
      <c r="I14" s="784">
        <v>3.5</v>
      </c>
      <c r="J14" s="784">
        <v>2</v>
      </c>
      <c r="K14" s="784">
        <v>1</v>
      </c>
      <c r="L14" s="784">
        <v>0</v>
      </c>
      <c r="M14" s="784">
        <v>0</v>
      </c>
      <c r="N14" s="784">
        <v>0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6000</v>
      </c>
      <c r="C15" s="784">
        <v>8.5</v>
      </c>
      <c r="D15" s="784">
        <v>8.5</v>
      </c>
      <c r="E15" s="784">
        <v>8.5</v>
      </c>
      <c r="F15" s="784">
        <v>8.5</v>
      </c>
      <c r="G15" s="784">
        <v>8</v>
      </c>
      <c r="H15" s="784">
        <v>7.5</v>
      </c>
      <c r="I15" s="784">
        <v>6.5</v>
      </c>
      <c r="J15" s="784">
        <v>5</v>
      </c>
      <c r="K15" s="784">
        <v>3.5</v>
      </c>
      <c r="L15" s="784">
        <v>2.5</v>
      </c>
      <c r="M15" s="784">
        <v>1.5</v>
      </c>
      <c r="N15" s="784">
        <v>0.5</v>
      </c>
      <c r="O15" s="784">
        <v>0</v>
      </c>
      <c r="P15" s="784">
        <v>0</v>
      </c>
      <c r="Q15" s="784">
        <v>0</v>
      </c>
      <c r="R15" s="784">
        <v>0</v>
      </c>
    </row>
    <row r="16" spans="2:18" x14ac:dyDescent="0.25">
      <c r="B16" s="781">
        <v>8000</v>
      </c>
      <c r="C16" s="784">
        <v>7.5</v>
      </c>
      <c r="D16" s="784">
        <v>7.5</v>
      </c>
      <c r="E16" s="784">
        <v>7.5</v>
      </c>
      <c r="F16" s="784">
        <v>7</v>
      </c>
      <c r="G16" s="784">
        <v>7</v>
      </c>
      <c r="H16" s="784">
        <v>6.5</v>
      </c>
      <c r="I16" s="784">
        <v>6.5</v>
      </c>
      <c r="J16" s="784">
        <v>6</v>
      </c>
      <c r="K16" s="784">
        <v>5.5</v>
      </c>
      <c r="L16" s="784">
        <v>4.5</v>
      </c>
      <c r="M16" s="784">
        <v>3.5</v>
      </c>
      <c r="N16" s="784">
        <v>2.5</v>
      </c>
      <c r="O16" s="784">
        <v>1.5</v>
      </c>
      <c r="P16" s="784">
        <v>0.5</v>
      </c>
      <c r="Q16" s="784">
        <v>0</v>
      </c>
      <c r="R16" s="784">
        <v>0</v>
      </c>
    </row>
    <row r="17" spans="2:23" x14ac:dyDescent="0.25">
      <c r="B17" s="781">
        <v>10000</v>
      </c>
      <c r="C17" s="784">
        <v>6</v>
      </c>
      <c r="D17" s="784">
        <v>6</v>
      </c>
      <c r="E17" s="784">
        <v>6</v>
      </c>
      <c r="F17" s="784">
        <v>6</v>
      </c>
      <c r="G17" s="784">
        <v>6</v>
      </c>
      <c r="H17" s="784">
        <v>5.5</v>
      </c>
      <c r="I17" s="784">
        <v>5.5</v>
      </c>
      <c r="J17" s="784">
        <v>5.5</v>
      </c>
      <c r="K17" s="784">
        <v>5.5</v>
      </c>
      <c r="L17" s="784">
        <v>5</v>
      </c>
      <c r="M17" s="784">
        <v>4.5</v>
      </c>
      <c r="N17" s="784">
        <v>4</v>
      </c>
      <c r="O17" s="784">
        <v>3</v>
      </c>
      <c r="P17" s="784">
        <v>2</v>
      </c>
      <c r="Q17" s="784">
        <v>1.5</v>
      </c>
      <c r="R17" s="784">
        <v>1</v>
      </c>
    </row>
    <row r="19" spans="2:23" x14ac:dyDescent="0.25">
      <c r="B19" s="785" t="s">
        <v>592</v>
      </c>
      <c r="C19" s="782" t="s">
        <v>591</v>
      </c>
      <c r="D19" s="783"/>
      <c r="E19" s="783"/>
      <c r="F19" s="783"/>
      <c r="G19" s="783"/>
      <c r="H19" s="783"/>
      <c r="I19" s="783"/>
      <c r="J19" s="783"/>
      <c r="K19" s="783"/>
      <c r="L19" s="783"/>
      <c r="M19" s="783"/>
      <c r="N19" s="783"/>
      <c r="O19" s="783"/>
      <c r="P19" s="783"/>
      <c r="Q19" s="783"/>
      <c r="R19" s="783"/>
    </row>
    <row r="20" spans="2:23" x14ac:dyDescent="0.25">
      <c r="B20" s="780" t="s">
        <v>590</v>
      </c>
      <c r="C20" s="783">
        <v>0</v>
      </c>
      <c r="D20" s="783">
        <v>1000</v>
      </c>
      <c r="E20" s="783">
        <v>2000</v>
      </c>
      <c r="F20" s="783">
        <v>3000</v>
      </c>
      <c r="G20" s="783">
        <v>4000</v>
      </c>
      <c r="H20" s="783">
        <v>5000</v>
      </c>
      <c r="I20" s="783">
        <v>6000</v>
      </c>
      <c r="J20" s="783">
        <v>7000</v>
      </c>
      <c r="K20" s="783">
        <v>8000</v>
      </c>
      <c r="L20" s="783">
        <v>9000</v>
      </c>
      <c r="M20" s="783">
        <v>10000</v>
      </c>
      <c r="N20" s="783">
        <v>11000</v>
      </c>
      <c r="O20" s="783">
        <v>12000</v>
      </c>
      <c r="P20" s="783">
        <v>13000</v>
      </c>
      <c r="Q20" s="783">
        <v>14000</v>
      </c>
      <c r="R20" s="783">
        <v>15000</v>
      </c>
    </row>
    <row r="21" spans="2:23" x14ac:dyDescent="0.25">
      <c r="B21" s="781">
        <v>0</v>
      </c>
      <c r="C21" s="784">
        <f>MAX(MIN(MAX((C12+$C$3),$C$4)*(1+($B21/($B$26-$B$21)*($C$6-1)))*(1+(C$20/($R$20-$C$20)*($C$7-1))),$C$5),$C$8)</f>
        <v>4</v>
      </c>
      <c r="D21" s="784">
        <f t="shared" ref="D21:R21" si="0">MAX(MIN(MAX((D12+$C$3),$C$4)*(1+($B21/($B$26-$B$21)*($C$6-1)))*(1+(D$20/($R$20-$C$20)*($C$7-1))),$C$5),$C$8)</f>
        <v>4</v>
      </c>
      <c r="E21" s="784">
        <f t="shared" si="0"/>
        <v>4</v>
      </c>
      <c r="F21" s="784">
        <f t="shared" si="0"/>
        <v>4</v>
      </c>
      <c r="G21" s="784">
        <f t="shared" si="0"/>
        <v>4</v>
      </c>
      <c r="H21" s="784">
        <f t="shared" si="0"/>
        <v>4</v>
      </c>
      <c r="I21" s="784">
        <f t="shared" si="0"/>
        <v>4</v>
      </c>
      <c r="J21" s="784">
        <f t="shared" si="0"/>
        <v>4</v>
      </c>
      <c r="K21" s="784">
        <f t="shared" si="0"/>
        <v>4</v>
      </c>
      <c r="L21" s="784">
        <f t="shared" si="0"/>
        <v>4</v>
      </c>
      <c r="M21" s="784">
        <f t="shared" si="0"/>
        <v>4</v>
      </c>
      <c r="N21" s="784">
        <f t="shared" si="0"/>
        <v>4</v>
      </c>
      <c r="O21" s="784">
        <f t="shared" si="0"/>
        <v>4</v>
      </c>
      <c r="P21" s="784">
        <f t="shared" si="0"/>
        <v>4</v>
      </c>
      <c r="Q21" s="784">
        <f t="shared" si="0"/>
        <v>4</v>
      </c>
      <c r="R21" s="784">
        <f t="shared" si="0"/>
        <v>4</v>
      </c>
      <c r="S21" s="787"/>
    </row>
    <row r="22" spans="2:23" x14ac:dyDescent="0.25">
      <c r="B22" s="781">
        <v>2000</v>
      </c>
      <c r="C22" s="784">
        <f t="shared" ref="C22:R26" si="1">MAX(MIN(MAX((C13+$C$3),$C$4)*(1+($B22/($B$26-$B$21)*($C$6-1)))*(1+(C$20/($R$20-$C$20)*($C$7-1))),$C$5),$C$8)</f>
        <v>10</v>
      </c>
      <c r="D22" s="784">
        <f t="shared" si="1"/>
        <v>9.0666666666666664</v>
      </c>
      <c r="E22" s="784">
        <f t="shared" si="1"/>
        <v>7.9333333333333336</v>
      </c>
      <c r="F22" s="784">
        <f t="shared" si="1"/>
        <v>6</v>
      </c>
      <c r="G22" s="784">
        <f t="shared" si="1"/>
        <v>4</v>
      </c>
      <c r="H22" s="784">
        <f t="shared" si="1"/>
        <v>4</v>
      </c>
      <c r="I22" s="784">
        <f t="shared" si="1"/>
        <v>4</v>
      </c>
      <c r="J22" s="784">
        <f t="shared" si="1"/>
        <v>4</v>
      </c>
      <c r="K22" s="784">
        <f t="shared" si="1"/>
        <v>4</v>
      </c>
      <c r="L22" s="784">
        <f t="shared" si="1"/>
        <v>4</v>
      </c>
      <c r="M22" s="784">
        <f t="shared" si="1"/>
        <v>4</v>
      </c>
      <c r="N22" s="784">
        <f t="shared" si="1"/>
        <v>4</v>
      </c>
      <c r="O22" s="784">
        <f t="shared" si="1"/>
        <v>4</v>
      </c>
      <c r="P22" s="784">
        <f t="shared" si="1"/>
        <v>4</v>
      </c>
      <c r="Q22" s="784">
        <f t="shared" si="1"/>
        <v>4</v>
      </c>
      <c r="R22" s="784">
        <f t="shared" si="1"/>
        <v>4</v>
      </c>
      <c r="S22" s="787"/>
      <c r="T22" s="787"/>
      <c r="U22" s="787"/>
      <c r="V22" s="787"/>
      <c r="W22" s="787"/>
    </row>
    <row r="23" spans="2:23" x14ac:dyDescent="0.25">
      <c r="B23" s="781">
        <v>4000</v>
      </c>
      <c r="C23" s="784">
        <f t="shared" si="1"/>
        <v>10</v>
      </c>
      <c r="D23" s="784">
        <f t="shared" si="1"/>
        <v>10</v>
      </c>
      <c r="E23" s="784">
        <f t="shared" si="1"/>
        <v>10</v>
      </c>
      <c r="F23" s="784">
        <f t="shared" si="1"/>
        <v>10</v>
      </c>
      <c r="G23" s="784">
        <f t="shared" si="1"/>
        <v>9.5</v>
      </c>
      <c r="H23" s="784">
        <f t="shared" si="1"/>
        <v>7.333333333333333</v>
      </c>
      <c r="I23" s="784">
        <f t="shared" si="1"/>
        <v>4.8999999999999995</v>
      </c>
      <c r="J23" s="784">
        <f t="shared" si="1"/>
        <v>4</v>
      </c>
      <c r="K23" s="784">
        <f t="shared" si="1"/>
        <v>4</v>
      </c>
      <c r="L23" s="784">
        <f t="shared" si="1"/>
        <v>4</v>
      </c>
      <c r="M23" s="784">
        <f t="shared" si="1"/>
        <v>4</v>
      </c>
      <c r="N23" s="784">
        <f t="shared" si="1"/>
        <v>4</v>
      </c>
      <c r="O23" s="784">
        <f t="shared" si="1"/>
        <v>4</v>
      </c>
      <c r="P23" s="784">
        <f t="shared" si="1"/>
        <v>4</v>
      </c>
      <c r="Q23" s="784">
        <f t="shared" si="1"/>
        <v>4</v>
      </c>
      <c r="R23" s="784">
        <f t="shared" si="1"/>
        <v>4</v>
      </c>
      <c r="S23" s="787"/>
    </row>
    <row r="24" spans="2:23" x14ac:dyDescent="0.25">
      <c r="B24" s="781">
        <v>6000</v>
      </c>
      <c r="C24" s="784">
        <f t="shared" si="1"/>
        <v>8.5</v>
      </c>
      <c r="D24" s="784">
        <f t="shared" si="1"/>
        <v>9.0666666666666664</v>
      </c>
      <c r="E24" s="784">
        <f t="shared" si="1"/>
        <v>9.6333333333333329</v>
      </c>
      <c r="F24" s="784">
        <f t="shared" si="1"/>
        <v>10</v>
      </c>
      <c r="G24" s="784">
        <f t="shared" si="1"/>
        <v>10</v>
      </c>
      <c r="H24" s="784">
        <f t="shared" si="1"/>
        <v>10</v>
      </c>
      <c r="I24" s="784">
        <f t="shared" si="1"/>
        <v>9.1</v>
      </c>
      <c r="J24" s="784">
        <f t="shared" si="1"/>
        <v>7.3333333333333339</v>
      </c>
      <c r="K24" s="784">
        <f t="shared" si="1"/>
        <v>5.3666666666666663</v>
      </c>
      <c r="L24" s="784">
        <f t="shared" si="1"/>
        <v>4</v>
      </c>
      <c r="M24" s="784">
        <f t="shared" si="1"/>
        <v>4</v>
      </c>
      <c r="N24" s="784">
        <f t="shared" si="1"/>
        <v>4</v>
      </c>
      <c r="O24" s="784">
        <f t="shared" si="1"/>
        <v>4</v>
      </c>
      <c r="P24" s="784">
        <f t="shared" si="1"/>
        <v>4</v>
      </c>
      <c r="Q24" s="784">
        <f t="shared" si="1"/>
        <v>4</v>
      </c>
      <c r="R24" s="784">
        <f t="shared" si="1"/>
        <v>4</v>
      </c>
      <c r="S24" s="787"/>
    </row>
    <row r="25" spans="2:23" x14ac:dyDescent="0.25">
      <c r="B25" s="781">
        <v>8000</v>
      </c>
      <c r="C25" s="784">
        <f t="shared" si="1"/>
        <v>7.5</v>
      </c>
      <c r="D25" s="784">
        <f t="shared" si="1"/>
        <v>8</v>
      </c>
      <c r="E25" s="784">
        <f t="shared" si="1"/>
        <v>8.5</v>
      </c>
      <c r="F25" s="784">
        <f t="shared" si="1"/>
        <v>8.4</v>
      </c>
      <c r="G25" s="784">
        <f t="shared" si="1"/>
        <v>8.8666666666666671</v>
      </c>
      <c r="H25" s="784">
        <f t="shared" si="1"/>
        <v>8.6666666666666661</v>
      </c>
      <c r="I25" s="784">
        <f t="shared" si="1"/>
        <v>9.1</v>
      </c>
      <c r="J25" s="784">
        <f t="shared" si="1"/>
        <v>8.8000000000000007</v>
      </c>
      <c r="K25" s="784">
        <f t="shared" si="1"/>
        <v>8.4333333333333336</v>
      </c>
      <c r="L25" s="784">
        <f t="shared" si="1"/>
        <v>7.2</v>
      </c>
      <c r="M25" s="784">
        <f t="shared" si="1"/>
        <v>5.833333333333333</v>
      </c>
      <c r="N25" s="784">
        <f t="shared" si="1"/>
        <v>4.3333333333333339</v>
      </c>
      <c r="O25" s="784">
        <f t="shared" si="1"/>
        <v>4</v>
      </c>
      <c r="P25" s="784">
        <f t="shared" si="1"/>
        <v>4</v>
      </c>
      <c r="Q25" s="784">
        <f t="shared" si="1"/>
        <v>4</v>
      </c>
      <c r="R25" s="784">
        <f t="shared" si="1"/>
        <v>4</v>
      </c>
      <c r="S25" s="787"/>
    </row>
    <row r="26" spans="2:23" x14ac:dyDescent="0.25">
      <c r="B26" s="781">
        <v>10000</v>
      </c>
      <c r="C26" s="784">
        <f t="shared" si="1"/>
        <v>6</v>
      </c>
      <c r="D26" s="784">
        <f t="shared" si="1"/>
        <v>6.4</v>
      </c>
      <c r="E26" s="784">
        <f t="shared" si="1"/>
        <v>6.8</v>
      </c>
      <c r="F26" s="784">
        <f t="shared" si="1"/>
        <v>7.1999999999999993</v>
      </c>
      <c r="G26" s="784">
        <f t="shared" si="1"/>
        <v>7.6</v>
      </c>
      <c r="H26" s="784">
        <f t="shared" si="1"/>
        <v>7.333333333333333</v>
      </c>
      <c r="I26" s="784">
        <f t="shared" si="1"/>
        <v>7.6999999999999993</v>
      </c>
      <c r="J26" s="784">
        <f t="shared" si="1"/>
        <v>8.0666666666666664</v>
      </c>
      <c r="K26" s="784">
        <f t="shared" si="1"/>
        <v>8.4333333333333336</v>
      </c>
      <c r="L26" s="784">
        <f t="shared" si="1"/>
        <v>8</v>
      </c>
      <c r="M26" s="784">
        <f t="shared" si="1"/>
        <v>7.4999999999999991</v>
      </c>
      <c r="N26" s="784">
        <f t="shared" si="1"/>
        <v>6.9333333333333336</v>
      </c>
      <c r="O26" s="784">
        <f t="shared" si="1"/>
        <v>5.4</v>
      </c>
      <c r="P26" s="784">
        <f t="shared" si="1"/>
        <v>4</v>
      </c>
      <c r="Q26" s="784">
        <f t="shared" si="1"/>
        <v>4</v>
      </c>
      <c r="R26" s="784">
        <f t="shared" si="1"/>
        <v>4</v>
      </c>
      <c r="S26" s="787"/>
    </row>
  </sheetData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50B8-069C-45EC-BA18-F211EFDBFC0A}">
  <sheetPr codeName="Sheet32"/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594</v>
      </c>
      <c r="H2" s="380" t="s">
        <v>595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</row>
    <row r="5" spans="2:18" x14ac:dyDescent="0.25">
      <c r="B5" s="785" t="s">
        <v>593</v>
      </c>
      <c r="C5" s="786">
        <v>20</v>
      </c>
      <c r="F5" s="786">
        <v>20</v>
      </c>
      <c r="H5" s="786">
        <v>20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</row>
    <row r="7" spans="2:18" x14ac:dyDescent="0.25">
      <c r="B7" s="785" t="s">
        <v>587</v>
      </c>
      <c r="C7" s="786">
        <v>1</v>
      </c>
      <c r="F7" s="786">
        <v>1</v>
      </c>
      <c r="H7" s="786">
        <v>1</v>
      </c>
    </row>
    <row r="9" spans="2:18" x14ac:dyDescent="0.25">
      <c r="B9" s="785" t="s">
        <v>589</v>
      </c>
      <c r="C9" s="782" t="s">
        <v>591</v>
      </c>
      <c r="D9" s="783"/>
      <c r="E9" s="783"/>
      <c r="F9" s="783"/>
      <c r="G9" s="783"/>
      <c r="H9" s="783"/>
      <c r="I9" s="783"/>
      <c r="J9" s="783"/>
      <c r="K9" s="783"/>
      <c r="L9" s="783"/>
      <c r="M9" s="783"/>
      <c r="N9" s="783"/>
      <c r="O9" s="783"/>
      <c r="P9" s="783"/>
      <c r="Q9" s="783"/>
      <c r="R9" s="783"/>
    </row>
    <row r="10" spans="2:18" x14ac:dyDescent="0.25">
      <c r="B10" s="780" t="s">
        <v>590</v>
      </c>
      <c r="C10" s="783">
        <v>0</v>
      </c>
      <c r="D10" s="783">
        <v>1000</v>
      </c>
      <c r="E10" s="783">
        <v>2000</v>
      </c>
      <c r="F10" s="783">
        <v>3000</v>
      </c>
      <c r="G10" s="783">
        <v>4000</v>
      </c>
      <c r="H10" s="783">
        <v>5000</v>
      </c>
      <c r="I10" s="783">
        <v>6000</v>
      </c>
      <c r="J10" s="783">
        <v>7000</v>
      </c>
      <c r="K10" s="783">
        <v>8000</v>
      </c>
      <c r="L10" s="783">
        <v>9000</v>
      </c>
      <c r="M10" s="783">
        <v>10000</v>
      </c>
      <c r="N10" s="783">
        <v>11000</v>
      </c>
      <c r="O10" s="783">
        <v>12000</v>
      </c>
      <c r="P10" s="783">
        <v>13000</v>
      </c>
      <c r="Q10" s="783">
        <v>14000</v>
      </c>
      <c r="R10" s="783">
        <v>15000</v>
      </c>
    </row>
    <row r="11" spans="2:18" x14ac:dyDescent="0.25">
      <c r="B11" s="781">
        <v>0</v>
      </c>
      <c r="C11" s="784">
        <v>0</v>
      </c>
      <c r="D11" s="784">
        <v>0</v>
      </c>
      <c r="E11" s="784">
        <v>0</v>
      </c>
      <c r="F11" s="784">
        <v>0</v>
      </c>
      <c r="G11" s="784">
        <v>0</v>
      </c>
      <c r="H11" s="784">
        <v>0</v>
      </c>
      <c r="I11" s="784">
        <v>0</v>
      </c>
      <c r="J11" s="784">
        <v>0</v>
      </c>
      <c r="K11" s="784">
        <v>0</v>
      </c>
      <c r="L11" s="784">
        <v>0</v>
      </c>
      <c r="M11" s="784">
        <v>0</v>
      </c>
      <c r="N11" s="784">
        <v>0</v>
      </c>
      <c r="O11" s="784">
        <v>0</v>
      </c>
      <c r="P11" s="784">
        <v>0</v>
      </c>
      <c r="Q11" s="784">
        <v>0</v>
      </c>
      <c r="R11" s="784">
        <v>0</v>
      </c>
    </row>
    <row r="12" spans="2:18" x14ac:dyDescent="0.25">
      <c r="B12" s="781">
        <v>2000</v>
      </c>
      <c r="C12" s="784">
        <v>10</v>
      </c>
      <c r="D12" s="784">
        <v>8.5</v>
      </c>
      <c r="E12" s="784">
        <v>7</v>
      </c>
      <c r="F12" s="784">
        <v>5</v>
      </c>
      <c r="G12" s="784">
        <v>3</v>
      </c>
      <c r="H12" s="784">
        <v>1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4000</v>
      </c>
      <c r="C13" s="784">
        <v>10</v>
      </c>
      <c r="D13" s="784">
        <v>10</v>
      </c>
      <c r="E13" s="784">
        <v>9.5</v>
      </c>
      <c r="F13" s="784">
        <v>8.5</v>
      </c>
      <c r="G13" s="784">
        <v>7.5</v>
      </c>
      <c r="H13" s="784">
        <v>5.5</v>
      </c>
      <c r="I13" s="784">
        <v>3.5</v>
      </c>
      <c r="J13" s="784">
        <v>2</v>
      </c>
      <c r="K13" s="784">
        <v>1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6000</v>
      </c>
      <c r="C14" s="784">
        <v>8.5</v>
      </c>
      <c r="D14" s="784">
        <v>8.5</v>
      </c>
      <c r="E14" s="784">
        <v>8.5</v>
      </c>
      <c r="F14" s="784">
        <v>8.5</v>
      </c>
      <c r="G14" s="784">
        <v>8</v>
      </c>
      <c r="H14" s="784">
        <v>7.5</v>
      </c>
      <c r="I14" s="784">
        <v>6.5</v>
      </c>
      <c r="J14" s="784">
        <v>5</v>
      </c>
      <c r="K14" s="784">
        <v>3.5</v>
      </c>
      <c r="L14" s="784">
        <v>2.5</v>
      </c>
      <c r="M14" s="784">
        <v>1.5</v>
      </c>
      <c r="N14" s="784">
        <v>0.5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8000</v>
      </c>
      <c r="C15" s="784">
        <v>7.5</v>
      </c>
      <c r="D15" s="784">
        <v>7.5</v>
      </c>
      <c r="E15" s="784">
        <v>7.5</v>
      </c>
      <c r="F15" s="784">
        <v>7</v>
      </c>
      <c r="G15" s="784">
        <v>7</v>
      </c>
      <c r="H15" s="784">
        <v>6.5</v>
      </c>
      <c r="I15" s="784">
        <v>6.5</v>
      </c>
      <c r="J15" s="784">
        <v>6</v>
      </c>
      <c r="K15" s="784">
        <v>5.5</v>
      </c>
      <c r="L15" s="784">
        <v>4.5</v>
      </c>
      <c r="M15" s="784">
        <v>3.5</v>
      </c>
      <c r="N15" s="784">
        <v>2.5</v>
      </c>
      <c r="O15" s="784">
        <v>1.5</v>
      </c>
      <c r="P15" s="784">
        <v>0.5</v>
      </c>
      <c r="Q15" s="784">
        <v>0</v>
      </c>
      <c r="R15" s="784">
        <v>0</v>
      </c>
    </row>
    <row r="16" spans="2:18" x14ac:dyDescent="0.25">
      <c r="B16" s="781">
        <v>10000</v>
      </c>
      <c r="C16" s="784">
        <v>6</v>
      </c>
      <c r="D16" s="784">
        <v>6</v>
      </c>
      <c r="E16" s="784">
        <v>6</v>
      </c>
      <c r="F16" s="784">
        <v>6</v>
      </c>
      <c r="G16" s="784">
        <v>6</v>
      </c>
      <c r="H16" s="784">
        <v>5.5</v>
      </c>
      <c r="I16" s="784">
        <v>5.5</v>
      </c>
      <c r="J16" s="784">
        <v>5.5</v>
      </c>
      <c r="K16" s="784">
        <v>5.5</v>
      </c>
      <c r="L16" s="784">
        <v>5</v>
      </c>
      <c r="M16" s="784">
        <v>4.5</v>
      </c>
      <c r="N16" s="784">
        <v>4</v>
      </c>
      <c r="O16" s="784">
        <v>3</v>
      </c>
      <c r="P16" s="784">
        <v>2</v>
      </c>
      <c r="Q16" s="784">
        <v>1.5</v>
      </c>
      <c r="R16" s="784">
        <v>1</v>
      </c>
    </row>
    <row r="18" spans="2:23" x14ac:dyDescent="0.25">
      <c r="B18" s="785" t="s">
        <v>592</v>
      </c>
      <c r="C18" s="782" t="s">
        <v>591</v>
      </c>
      <c r="D18" s="783"/>
      <c r="E18" s="783"/>
      <c r="F18" s="783"/>
      <c r="G18" s="783"/>
      <c r="H18" s="783"/>
      <c r="I18" s="783"/>
      <c r="J18" s="783"/>
      <c r="K18" s="783"/>
      <c r="L18" s="783"/>
      <c r="M18" s="783"/>
      <c r="N18" s="783"/>
      <c r="O18" s="783"/>
      <c r="P18" s="783"/>
      <c r="Q18" s="783"/>
      <c r="R18" s="783"/>
    </row>
    <row r="19" spans="2:23" x14ac:dyDescent="0.25">
      <c r="B19" s="780" t="s">
        <v>590</v>
      </c>
      <c r="C19" s="783">
        <v>0</v>
      </c>
      <c r="D19" s="783">
        <v>1000</v>
      </c>
      <c r="E19" s="783">
        <v>2000</v>
      </c>
      <c r="F19" s="783">
        <v>3000</v>
      </c>
      <c r="G19" s="783">
        <v>4000</v>
      </c>
      <c r="H19" s="783">
        <v>5000</v>
      </c>
      <c r="I19" s="783">
        <v>6000</v>
      </c>
      <c r="J19" s="783">
        <v>7000</v>
      </c>
      <c r="K19" s="783">
        <v>8000</v>
      </c>
      <c r="L19" s="783">
        <v>9000</v>
      </c>
      <c r="M19" s="783">
        <v>10000</v>
      </c>
      <c r="N19" s="783">
        <v>11000</v>
      </c>
      <c r="O19" s="783">
        <v>12000</v>
      </c>
      <c r="P19" s="783">
        <v>13000</v>
      </c>
      <c r="Q19" s="783">
        <v>14000</v>
      </c>
      <c r="R19" s="783">
        <v>15000</v>
      </c>
    </row>
    <row r="20" spans="2:23" x14ac:dyDescent="0.25">
      <c r="B20" s="781">
        <v>0</v>
      </c>
      <c r="C20" s="784">
        <f>MIN(MAX((C11+$C$3),$C$4)*(1+($B20/($B$25-$B$20)*($C$6-1)))*(1+(C$19/($R$19-$C$19)*($C$7-1))),$C$5)</f>
        <v>2</v>
      </c>
      <c r="D20" s="784">
        <f t="shared" ref="D20:R20" si="0">MIN(MAX((D11+$C$3),$C$4)*(1+($B20/($B$25-$B$20)*($C$6-1)))*(1+(D$19/($R$19-$C$19)*($C$7-1))),$C$5)</f>
        <v>2</v>
      </c>
      <c r="E20" s="784">
        <f t="shared" si="0"/>
        <v>2</v>
      </c>
      <c r="F20" s="784">
        <f t="shared" si="0"/>
        <v>2</v>
      </c>
      <c r="G20" s="784">
        <f t="shared" si="0"/>
        <v>2</v>
      </c>
      <c r="H20" s="784">
        <f t="shared" si="0"/>
        <v>2</v>
      </c>
      <c r="I20" s="784">
        <f t="shared" si="0"/>
        <v>2</v>
      </c>
      <c r="J20" s="784">
        <f t="shared" si="0"/>
        <v>2</v>
      </c>
      <c r="K20" s="784">
        <f t="shared" si="0"/>
        <v>2</v>
      </c>
      <c r="L20" s="784">
        <f t="shared" si="0"/>
        <v>2</v>
      </c>
      <c r="M20" s="784">
        <f t="shared" si="0"/>
        <v>2</v>
      </c>
      <c r="N20" s="784">
        <f t="shared" si="0"/>
        <v>2</v>
      </c>
      <c r="O20" s="784">
        <f t="shared" si="0"/>
        <v>2</v>
      </c>
      <c r="P20" s="784">
        <f t="shared" si="0"/>
        <v>2</v>
      </c>
      <c r="Q20" s="784">
        <f t="shared" si="0"/>
        <v>2</v>
      </c>
      <c r="R20" s="784">
        <f t="shared" si="0"/>
        <v>2</v>
      </c>
      <c r="S20" s="787"/>
    </row>
    <row r="21" spans="2:23" x14ac:dyDescent="0.25">
      <c r="B21" s="781">
        <v>2000</v>
      </c>
      <c r="C21" s="784">
        <f t="shared" ref="C21:R25" si="1">MIN(MAX((C12+$C$3),$C$4)*(1+($B21/($B$25-$B$20)*($C$6-1)))*(1+(C$19/($R$19-$C$19)*($C$7-1))),$C$5)</f>
        <v>10</v>
      </c>
      <c r="D21" s="784">
        <f t="shared" si="1"/>
        <v>8.5</v>
      </c>
      <c r="E21" s="784">
        <f t="shared" si="1"/>
        <v>7</v>
      </c>
      <c r="F21" s="784">
        <f t="shared" si="1"/>
        <v>5</v>
      </c>
      <c r="G21" s="784">
        <f t="shared" si="1"/>
        <v>3</v>
      </c>
      <c r="H21" s="784">
        <f t="shared" si="1"/>
        <v>2</v>
      </c>
      <c r="I21" s="784">
        <f t="shared" si="1"/>
        <v>2</v>
      </c>
      <c r="J21" s="784">
        <f t="shared" si="1"/>
        <v>2</v>
      </c>
      <c r="K21" s="784">
        <f t="shared" si="1"/>
        <v>2</v>
      </c>
      <c r="L21" s="784">
        <f t="shared" si="1"/>
        <v>2</v>
      </c>
      <c r="M21" s="784">
        <f t="shared" si="1"/>
        <v>2</v>
      </c>
      <c r="N21" s="784">
        <f t="shared" si="1"/>
        <v>2</v>
      </c>
      <c r="O21" s="784">
        <f t="shared" si="1"/>
        <v>2</v>
      </c>
      <c r="P21" s="784">
        <f t="shared" si="1"/>
        <v>2</v>
      </c>
      <c r="Q21" s="784">
        <f t="shared" si="1"/>
        <v>2</v>
      </c>
      <c r="R21" s="784">
        <f t="shared" si="1"/>
        <v>2</v>
      </c>
      <c r="S21" s="787"/>
      <c r="T21" s="787"/>
      <c r="U21" s="787"/>
      <c r="V21" s="787"/>
      <c r="W21" s="787"/>
    </row>
    <row r="22" spans="2:23" x14ac:dyDescent="0.25">
      <c r="B22" s="781">
        <v>4000</v>
      </c>
      <c r="C22" s="784">
        <f t="shared" si="1"/>
        <v>10</v>
      </c>
      <c r="D22" s="784">
        <f t="shared" si="1"/>
        <v>10</v>
      </c>
      <c r="E22" s="784">
        <f t="shared" si="1"/>
        <v>9.5</v>
      </c>
      <c r="F22" s="784">
        <f t="shared" si="1"/>
        <v>8.5</v>
      </c>
      <c r="G22" s="784">
        <f t="shared" si="1"/>
        <v>7.5</v>
      </c>
      <c r="H22" s="784">
        <f t="shared" si="1"/>
        <v>5.5</v>
      </c>
      <c r="I22" s="784">
        <f t="shared" si="1"/>
        <v>3.5</v>
      </c>
      <c r="J22" s="784">
        <f t="shared" si="1"/>
        <v>2</v>
      </c>
      <c r="K22" s="784">
        <f t="shared" si="1"/>
        <v>2</v>
      </c>
      <c r="L22" s="794">
        <f t="shared" si="1"/>
        <v>2</v>
      </c>
      <c r="M22" s="784">
        <f t="shared" si="1"/>
        <v>2</v>
      </c>
      <c r="N22" s="784">
        <f t="shared" si="1"/>
        <v>2</v>
      </c>
      <c r="O22" s="784">
        <f t="shared" si="1"/>
        <v>2</v>
      </c>
      <c r="P22" s="784">
        <f t="shared" si="1"/>
        <v>2</v>
      </c>
      <c r="Q22" s="784">
        <f t="shared" si="1"/>
        <v>2</v>
      </c>
      <c r="R22" s="784">
        <f t="shared" si="1"/>
        <v>2</v>
      </c>
      <c r="S22" s="787"/>
    </row>
    <row r="23" spans="2:23" x14ac:dyDescent="0.25">
      <c r="B23" s="781">
        <v>6000</v>
      </c>
      <c r="C23" s="784">
        <f t="shared" si="1"/>
        <v>8.5</v>
      </c>
      <c r="D23" s="784">
        <f t="shared" si="1"/>
        <v>8.5</v>
      </c>
      <c r="E23" s="784">
        <f t="shared" si="1"/>
        <v>8.5</v>
      </c>
      <c r="F23" s="784">
        <f t="shared" si="1"/>
        <v>8.5</v>
      </c>
      <c r="G23" s="784">
        <f t="shared" si="1"/>
        <v>8</v>
      </c>
      <c r="H23" s="784">
        <f t="shared" si="1"/>
        <v>7.5</v>
      </c>
      <c r="I23" s="784">
        <f t="shared" si="1"/>
        <v>6.5</v>
      </c>
      <c r="J23" s="784">
        <f t="shared" si="1"/>
        <v>5</v>
      </c>
      <c r="K23" s="784">
        <f t="shared" si="1"/>
        <v>3.5</v>
      </c>
      <c r="L23" s="794">
        <f t="shared" si="1"/>
        <v>2.5</v>
      </c>
      <c r="M23" s="784">
        <f t="shared" si="1"/>
        <v>2</v>
      </c>
      <c r="N23" s="784">
        <f t="shared" si="1"/>
        <v>2</v>
      </c>
      <c r="O23" s="784">
        <f t="shared" si="1"/>
        <v>2</v>
      </c>
      <c r="P23" s="784">
        <f t="shared" si="1"/>
        <v>2</v>
      </c>
      <c r="Q23" s="784">
        <f t="shared" si="1"/>
        <v>2</v>
      </c>
      <c r="R23" s="784">
        <f t="shared" si="1"/>
        <v>2</v>
      </c>
      <c r="S23" s="787"/>
    </row>
    <row r="24" spans="2:23" x14ac:dyDescent="0.25">
      <c r="B24" s="781">
        <v>8000</v>
      </c>
      <c r="C24" s="784">
        <f t="shared" si="1"/>
        <v>7.5</v>
      </c>
      <c r="D24" s="784">
        <f t="shared" si="1"/>
        <v>7.5</v>
      </c>
      <c r="E24" s="784">
        <f t="shared" si="1"/>
        <v>7.5</v>
      </c>
      <c r="F24" s="784">
        <f t="shared" si="1"/>
        <v>7</v>
      </c>
      <c r="G24" s="784">
        <f t="shared" si="1"/>
        <v>7</v>
      </c>
      <c r="H24" s="784">
        <f t="shared" si="1"/>
        <v>6.5</v>
      </c>
      <c r="I24" s="784">
        <f t="shared" si="1"/>
        <v>6.5</v>
      </c>
      <c r="J24" s="784">
        <f t="shared" si="1"/>
        <v>6</v>
      </c>
      <c r="K24" s="784">
        <f t="shared" si="1"/>
        <v>5.5</v>
      </c>
      <c r="L24" s="784">
        <f t="shared" si="1"/>
        <v>4.5</v>
      </c>
      <c r="M24" s="784">
        <f t="shared" si="1"/>
        <v>3.5</v>
      </c>
      <c r="N24" s="784">
        <f t="shared" si="1"/>
        <v>2.5</v>
      </c>
      <c r="O24" s="784">
        <f t="shared" si="1"/>
        <v>2</v>
      </c>
      <c r="P24" s="784">
        <f t="shared" si="1"/>
        <v>2</v>
      </c>
      <c r="Q24" s="784">
        <f t="shared" si="1"/>
        <v>2</v>
      </c>
      <c r="R24" s="784">
        <f t="shared" si="1"/>
        <v>2</v>
      </c>
      <c r="S24" s="787"/>
    </row>
    <row r="25" spans="2:23" x14ac:dyDescent="0.25">
      <c r="B25" s="781">
        <v>10000</v>
      </c>
      <c r="C25" s="784">
        <f t="shared" si="1"/>
        <v>6</v>
      </c>
      <c r="D25" s="784">
        <f t="shared" si="1"/>
        <v>6</v>
      </c>
      <c r="E25" s="784">
        <f t="shared" si="1"/>
        <v>6</v>
      </c>
      <c r="F25" s="784">
        <f t="shared" si="1"/>
        <v>6</v>
      </c>
      <c r="G25" s="784">
        <f t="shared" si="1"/>
        <v>6</v>
      </c>
      <c r="H25" s="784">
        <f t="shared" si="1"/>
        <v>5.5</v>
      </c>
      <c r="I25" s="784">
        <f t="shared" si="1"/>
        <v>5.5</v>
      </c>
      <c r="J25" s="784">
        <f t="shared" si="1"/>
        <v>5.5</v>
      </c>
      <c r="K25" s="784">
        <f t="shared" si="1"/>
        <v>5.5</v>
      </c>
      <c r="L25" s="784">
        <f t="shared" si="1"/>
        <v>5</v>
      </c>
      <c r="M25" s="784">
        <f t="shared" si="1"/>
        <v>4.5</v>
      </c>
      <c r="N25" s="784">
        <f t="shared" si="1"/>
        <v>4</v>
      </c>
      <c r="O25" s="784">
        <f t="shared" si="1"/>
        <v>3</v>
      </c>
      <c r="P25" s="784">
        <f t="shared" si="1"/>
        <v>2</v>
      </c>
      <c r="Q25" s="784">
        <f t="shared" si="1"/>
        <v>2</v>
      </c>
      <c r="R25" s="784">
        <f t="shared" si="1"/>
        <v>2</v>
      </c>
      <c r="S25" s="787"/>
    </row>
  </sheetData>
  <pageMargins left="0.7" right="0.7" top="0.75" bottom="0.75" header="0.3" footer="0.3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8169-2996-4120-BB01-AB8D3A04B2F9}">
  <sheetPr codeName="Sheet33"/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594</v>
      </c>
      <c r="H2" s="380" t="s">
        <v>595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</row>
    <row r="5" spans="2:18" x14ac:dyDescent="0.25">
      <c r="B5" s="785" t="s">
        <v>593</v>
      </c>
      <c r="C5" s="786">
        <v>20</v>
      </c>
      <c r="F5" s="786">
        <v>20</v>
      </c>
      <c r="H5" s="786">
        <v>20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</row>
    <row r="7" spans="2:18" x14ac:dyDescent="0.25">
      <c r="B7" s="785" t="s">
        <v>587</v>
      </c>
      <c r="C7" s="786">
        <v>1</v>
      </c>
      <c r="F7" s="786">
        <v>1</v>
      </c>
      <c r="H7" s="786">
        <v>1</v>
      </c>
    </row>
    <row r="9" spans="2:18" x14ac:dyDescent="0.25">
      <c r="B9" s="785" t="s">
        <v>589</v>
      </c>
      <c r="C9" s="782" t="s">
        <v>591</v>
      </c>
      <c r="D9" s="783"/>
      <c r="E9" s="783"/>
      <c r="F9" s="783"/>
      <c r="G9" s="783"/>
      <c r="H9" s="783"/>
      <c r="I9" s="783"/>
      <c r="J9" s="783"/>
      <c r="K9" s="783"/>
      <c r="L9" s="783"/>
      <c r="M9" s="783"/>
      <c r="N9" s="783"/>
      <c r="O9" s="783"/>
      <c r="P9" s="783"/>
      <c r="Q9" s="783"/>
      <c r="R9" s="783"/>
    </row>
    <row r="10" spans="2:18" x14ac:dyDescent="0.25">
      <c r="B10" s="780" t="s">
        <v>590</v>
      </c>
      <c r="C10" s="783">
        <v>0</v>
      </c>
      <c r="D10" s="783">
        <v>1000</v>
      </c>
      <c r="E10" s="783">
        <v>2000</v>
      </c>
      <c r="F10" s="783">
        <v>3000</v>
      </c>
      <c r="G10" s="783">
        <v>4000</v>
      </c>
      <c r="H10" s="783">
        <v>5000</v>
      </c>
      <c r="I10" s="783">
        <v>6000</v>
      </c>
      <c r="J10" s="783">
        <v>7000</v>
      </c>
      <c r="K10" s="783">
        <v>8000</v>
      </c>
      <c r="L10" s="783">
        <v>9000</v>
      </c>
      <c r="M10" s="783">
        <v>10000</v>
      </c>
      <c r="N10" s="783">
        <v>11000</v>
      </c>
      <c r="O10" s="783">
        <v>12000</v>
      </c>
      <c r="P10" s="783">
        <v>13000</v>
      </c>
      <c r="Q10" s="783">
        <v>14000</v>
      </c>
      <c r="R10" s="783">
        <v>15000</v>
      </c>
    </row>
    <row r="11" spans="2:18" x14ac:dyDescent="0.25">
      <c r="B11" s="781">
        <v>0</v>
      </c>
      <c r="C11" s="784">
        <v>0</v>
      </c>
      <c r="D11" s="784">
        <v>0</v>
      </c>
      <c r="E11" s="784">
        <v>0</v>
      </c>
      <c r="F11" s="784">
        <v>0</v>
      </c>
      <c r="G11" s="784">
        <v>0</v>
      </c>
      <c r="H11" s="784">
        <v>0</v>
      </c>
      <c r="I11" s="784">
        <v>0</v>
      </c>
      <c r="J11" s="784">
        <v>0</v>
      </c>
      <c r="K11" s="784">
        <v>0</v>
      </c>
      <c r="L11" s="784">
        <v>0</v>
      </c>
      <c r="M11" s="784">
        <v>0</v>
      </c>
      <c r="N11" s="784">
        <v>0</v>
      </c>
      <c r="O11" s="784">
        <v>0</v>
      </c>
      <c r="P11" s="784">
        <v>0</v>
      </c>
      <c r="Q11" s="784">
        <v>0</v>
      </c>
      <c r="R11" s="784">
        <v>0</v>
      </c>
    </row>
    <row r="12" spans="2:18" x14ac:dyDescent="0.25">
      <c r="B12" s="781">
        <v>2000</v>
      </c>
      <c r="C12" s="784">
        <v>7</v>
      </c>
      <c r="D12" s="784">
        <v>6</v>
      </c>
      <c r="E12" s="784">
        <v>3.5</v>
      </c>
      <c r="F12" s="784">
        <v>1.5</v>
      </c>
      <c r="G12" s="784">
        <v>0</v>
      </c>
      <c r="H12" s="784">
        <v>0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4000</v>
      </c>
      <c r="C13" s="784">
        <v>7</v>
      </c>
      <c r="D13" s="784">
        <v>6.5</v>
      </c>
      <c r="E13" s="784">
        <v>6.5</v>
      </c>
      <c r="F13" s="784">
        <v>5</v>
      </c>
      <c r="G13" s="784">
        <v>3</v>
      </c>
      <c r="H13" s="784">
        <v>1</v>
      </c>
      <c r="I13" s="784">
        <v>0</v>
      </c>
      <c r="J13" s="784">
        <v>0</v>
      </c>
      <c r="K13" s="784">
        <v>0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6000</v>
      </c>
      <c r="C14" s="784">
        <v>6.5</v>
      </c>
      <c r="D14" s="784">
        <v>6.5</v>
      </c>
      <c r="E14" s="784">
        <v>6.5</v>
      </c>
      <c r="F14" s="784">
        <v>6</v>
      </c>
      <c r="G14" s="784">
        <v>5</v>
      </c>
      <c r="H14" s="784">
        <v>4</v>
      </c>
      <c r="I14" s="784">
        <v>2.5</v>
      </c>
      <c r="J14" s="784">
        <v>1</v>
      </c>
      <c r="K14" s="784">
        <v>0</v>
      </c>
      <c r="L14" s="784">
        <v>0</v>
      </c>
      <c r="M14" s="784">
        <v>0</v>
      </c>
      <c r="N14" s="784">
        <v>0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8000</v>
      </c>
      <c r="C15" s="784">
        <v>5.5</v>
      </c>
      <c r="D15" s="784">
        <v>5.5</v>
      </c>
      <c r="E15" s="784">
        <v>5.5</v>
      </c>
      <c r="F15" s="784">
        <v>5.5</v>
      </c>
      <c r="G15" s="784">
        <v>5.5</v>
      </c>
      <c r="H15" s="784">
        <v>5</v>
      </c>
      <c r="I15" s="784">
        <v>4.5</v>
      </c>
      <c r="J15" s="784">
        <v>3</v>
      </c>
      <c r="K15" s="784">
        <v>1.5</v>
      </c>
      <c r="L15" s="784">
        <v>0.5</v>
      </c>
      <c r="M15" s="784">
        <v>0</v>
      </c>
      <c r="N15" s="784">
        <v>0</v>
      </c>
      <c r="O15" s="784">
        <v>0</v>
      </c>
      <c r="P15" s="784">
        <v>0</v>
      </c>
      <c r="Q15" s="784">
        <v>0</v>
      </c>
      <c r="R15" s="784">
        <v>0</v>
      </c>
    </row>
    <row r="16" spans="2:18" x14ac:dyDescent="0.25">
      <c r="B16" s="781">
        <v>10000</v>
      </c>
      <c r="C16" s="784">
        <v>4.5</v>
      </c>
      <c r="D16" s="784">
        <v>4.5</v>
      </c>
      <c r="E16" s="784">
        <v>4.5</v>
      </c>
      <c r="F16" s="784">
        <v>4.5</v>
      </c>
      <c r="G16" s="784">
        <v>4.5</v>
      </c>
      <c r="H16" s="784">
        <v>4</v>
      </c>
      <c r="I16" s="784">
        <v>4</v>
      </c>
      <c r="J16" s="784">
        <v>3.5</v>
      </c>
      <c r="K16" s="784">
        <v>2.5</v>
      </c>
      <c r="L16" s="784">
        <v>1.5</v>
      </c>
      <c r="M16" s="784">
        <v>0.5</v>
      </c>
      <c r="N16" s="784">
        <v>0</v>
      </c>
      <c r="O16" s="784">
        <v>0</v>
      </c>
      <c r="P16" s="784">
        <v>0</v>
      </c>
      <c r="Q16" s="784">
        <v>0</v>
      </c>
      <c r="R16" s="784">
        <v>0</v>
      </c>
    </row>
    <row r="18" spans="2:23" x14ac:dyDescent="0.25">
      <c r="B18" s="785" t="s">
        <v>592</v>
      </c>
      <c r="C18" s="782" t="s">
        <v>591</v>
      </c>
      <c r="D18" s="783"/>
      <c r="E18" s="783"/>
      <c r="F18" s="783"/>
      <c r="G18" s="783"/>
      <c r="H18" s="783"/>
      <c r="I18" s="783"/>
      <c r="J18" s="783"/>
      <c r="K18" s="783"/>
      <c r="L18" s="783"/>
      <c r="M18" s="783"/>
      <c r="N18" s="783"/>
      <c r="O18" s="783"/>
      <c r="P18" s="783"/>
      <c r="Q18" s="783"/>
      <c r="R18" s="783"/>
    </row>
    <row r="19" spans="2:23" x14ac:dyDescent="0.25">
      <c r="B19" s="780" t="s">
        <v>590</v>
      </c>
      <c r="C19" s="783">
        <v>0</v>
      </c>
      <c r="D19" s="783">
        <v>1000</v>
      </c>
      <c r="E19" s="783">
        <v>2000</v>
      </c>
      <c r="F19" s="783">
        <v>3000</v>
      </c>
      <c r="G19" s="783">
        <v>4000</v>
      </c>
      <c r="H19" s="783">
        <v>5000</v>
      </c>
      <c r="I19" s="783">
        <v>6000</v>
      </c>
      <c r="J19" s="783">
        <v>7000</v>
      </c>
      <c r="K19" s="783">
        <v>8000</v>
      </c>
      <c r="L19" s="783">
        <v>9000</v>
      </c>
      <c r="M19" s="783">
        <v>10000</v>
      </c>
      <c r="N19" s="783">
        <v>11000</v>
      </c>
      <c r="O19" s="783">
        <v>12000</v>
      </c>
      <c r="P19" s="783">
        <v>13000</v>
      </c>
      <c r="Q19" s="783">
        <v>14000</v>
      </c>
      <c r="R19" s="783">
        <v>15000</v>
      </c>
    </row>
    <row r="20" spans="2:23" x14ac:dyDescent="0.25">
      <c r="B20" s="781">
        <v>0</v>
      </c>
      <c r="C20" s="784">
        <f>MIN(MAX((C11+$C$3),$C$4)*(1+($B20/($B$25-$B$20)*($C$6-1)))*(1+(C$19/($R$19-$C$19)*($C$7-1))),$C$5)</f>
        <v>2</v>
      </c>
      <c r="D20" s="784">
        <f t="shared" ref="D20:R20" si="0">MIN(MAX((D11+$C$3),$C$4)*(1+($B20/($B$25-$B$20)*($C$6-1)))*(1+(D$19/($R$19-$C$19)*($C$7-1))),$C$5)</f>
        <v>2</v>
      </c>
      <c r="E20" s="784">
        <f t="shared" si="0"/>
        <v>2</v>
      </c>
      <c r="F20" s="784">
        <f t="shared" si="0"/>
        <v>2</v>
      </c>
      <c r="G20" s="784">
        <f t="shared" si="0"/>
        <v>2</v>
      </c>
      <c r="H20" s="784">
        <f t="shared" si="0"/>
        <v>2</v>
      </c>
      <c r="I20" s="784">
        <f t="shared" si="0"/>
        <v>2</v>
      </c>
      <c r="J20" s="784">
        <f t="shared" si="0"/>
        <v>2</v>
      </c>
      <c r="K20" s="784">
        <f t="shared" si="0"/>
        <v>2</v>
      </c>
      <c r="L20" s="784">
        <f t="shared" si="0"/>
        <v>2</v>
      </c>
      <c r="M20" s="784">
        <f t="shared" si="0"/>
        <v>2</v>
      </c>
      <c r="N20" s="784">
        <f t="shared" si="0"/>
        <v>2</v>
      </c>
      <c r="O20" s="784">
        <f t="shared" si="0"/>
        <v>2</v>
      </c>
      <c r="P20" s="784">
        <f t="shared" si="0"/>
        <v>2</v>
      </c>
      <c r="Q20" s="784">
        <f t="shared" si="0"/>
        <v>2</v>
      </c>
      <c r="R20" s="784">
        <f t="shared" si="0"/>
        <v>2</v>
      </c>
      <c r="S20" s="787"/>
    </row>
    <row r="21" spans="2:23" x14ac:dyDescent="0.25">
      <c r="B21" s="781">
        <v>2000</v>
      </c>
      <c r="C21" s="784">
        <f t="shared" ref="C21:R25" si="1">MIN(MAX((C12+$C$3),$C$4)*(1+($B21/($B$25-$B$20)*($C$6-1)))*(1+(C$19/($R$19-$C$19)*($C$7-1))),$C$5)</f>
        <v>7</v>
      </c>
      <c r="D21" s="784">
        <f t="shared" si="1"/>
        <v>6</v>
      </c>
      <c r="E21" s="784">
        <f t="shared" si="1"/>
        <v>3.5</v>
      </c>
      <c r="F21" s="784">
        <f t="shared" si="1"/>
        <v>2</v>
      </c>
      <c r="G21" s="784">
        <f t="shared" si="1"/>
        <v>2</v>
      </c>
      <c r="H21" s="784">
        <f t="shared" si="1"/>
        <v>2</v>
      </c>
      <c r="I21" s="784">
        <f t="shared" si="1"/>
        <v>2</v>
      </c>
      <c r="J21" s="784">
        <f t="shared" si="1"/>
        <v>2</v>
      </c>
      <c r="K21" s="784">
        <f t="shared" si="1"/>
        <v>2</v>
      </c>
      <c r="L21" s="784">
        <f t="shared" si="1"/>
        <v>2</v>
      </c>
      <c r="M21" s="784">
        <f t="shared" si="1"/>
        <v>2</v>
      </c>
      <c r="N21" s="784">
        <f t="shared" si="1"/>
        <v>2</v>
      </c>
      <c r="O21" s="784">
        <f t="shared" si="1"/>
        <v>2</v>
      </c>
      <c r="P21" s="784">
        <f t="shared" si="1"/>
        <v>2</v>
      </c>
      <c r="Q21" s="784">
        <f t="shared" si="1"/>
        <v>2</v>
      </c>
      <c r="R21" s="784">
        <f t="shared" si="1"/>
        <v>2</v>
      </c>
      <c r="S21" s="787"/>
      <c r="T21" s="787"/>
      <c r="U21" s="787"/>
      <c r="V21" s="787"/>
      <c r="W21" s="787"/>
    </row>
    <row r="22" spans="2:23" x14ac:dyDescent="0.25">
      <c r="B22" s="781">
        <v>4000</v>
      </c>
      <c r="C22" s="784">
        <f t="shared" si="1"/>
        <v>7</v>
      </c>
      <c r="D22" s="784">
        <f t="shared" si="1"/>
        <v>6.5</v>
      </c>
      <c r="E22" s="784">
        <f t="shared" si="1"/>
        <v>6.5</v>
      </c>
      <c r="F22" s="784">
        <f t="shared" si="1"/>
        <v>5</v>
      </c>
      <c r="G22" s="784">
        <f t="shared" si="1"/>
        <v>3</v>
      </c>
      <c r="H22" s="784">
        <f t="shared" si="1"/>
        <v>2</v>
      </c>
      <c r="I22" s="784">
        <f t="shared" si="1"/>
        <v>2</v>
      </c>
      <c r="J22" s="784">
        <f t="shared" si="1"/>
        <v>2</v>
      </c>
      <c r="K22" s="784">
        <f t="shared" si="1"/>
        <v>2</v>
      </c>
      <c r="L22" s="784">
        <f t="shared" si="1"/>
        <v>2</v>
      </c>
      <c r="M22" s="784">
        <f t="shared" si="1"/>
        <v>2</v>
      </c>
      <c r="N22" s="784">
        <f t="shared" si="1"/>
        <v>2</v>
      </c>
      <c r="O22" s="784">
        <f t="shared" si="1"/>
        <v>2</v>
      </c>
      <c r="P22" s="784">
        <f t="shared" si="1"/>
        <v>2</v>
      </c>
      <c r="Q22" s="784">
        <f t="shared" si="1"/>
        <v>2</v>
      </c>
      <c r="R22" s="784">
        <f t="shared" si="1"/>
        <v>2</v>
      </c>
      <c r="S22" s="787"/>
    </row>
    <row r="23" spans="2:23" x14ac:dyDescent="0.25">
      <c r="B23" s="781">
        <v>6000</v>
      </c>
      <c r="C23" s="784">
        <f t="shared" si="1"/>
        <v>6.5</v>
      </c>
      <c r="D23" s="784">
        <f t="shared" si="1"/>
        <v>6.5</v>
      </c>
      <c r="E23" s="784">
        <f t="shared" si="1"/>
        <v>6.5</v>
      </c>
      <c r="F23" s="784">
        <f t="shared" si="1"/>
        <v>6</v>
      </c>
      <c r="G23" s="784">
        <f t="shared" si="1"/>
        <v>5</v>
      </c>
      <c r="H23" s="784">
        <f t="shared" si="1"/>
        <v>4</v>
      </c>
      <c r="I23" s="784">
        <f t="shared" si="1"/>
        <v>2.5</v>
      </c>
      <c r="J23" s="784">
        <f t="shared" si="1"/>
        <v>2</v>
      </c>
      <c r="K23" s="784">
        <f t="shared" si="1"/>
        <v>2</v>
      </c>
      <c r="L23" s="784">
        <f t="shared" si="1"/>
        <v>2</v>
      </c>
      <c r="M23" s="784">
        <f t="shared" si="1"/>
        <v>2</v>
      </c>
      <c r="N23" s="784">
        <f t="shared" si="1"/>
        <v>2</v>
      </c>
      <c r="O23" s="784">
        <f t="shared" si="1"/>
        <v>2</v>
      </c>
      <c r="P23" s="784">
        <f t="shared" si="1"/>
        <v>2</v>
      </c>
      <c r="Q23" s="784">
        <f t="shared" si="1"/>
        <v>2</v>
      </c>
      <c r="R23" s="784">
        <f t="shared" si="1"/>
        <v>2</v>
      </c>
      <c r="S23" s="787"/>
    </row>
    <row r="24" spans="2:23" x14ac:dyDescent="0.25">
      <c r="B24" s="781">
        <v>8000</v>
      </c>
      <c r="C24" s="784">
        <f t="shared" si="1"/>
        <v>5.5</v>
      </c>
      <c r="D24" s="784">
        <f t="shared" si="1"/>
        <v>5.5</v>
      </c>
      <c r="E24" s="784">
        <f t="shared" si="1"/>
        <v>5.5</v>
      </c>
      <c r="F24" s="784">
        <f t="shared" si="1"/>
        <v>5.5</v>
      </c>
      <c r="G24" s="784">
        <f t="shared" si="1"/>
        <v>5.5</v>
      </c>
      <c r="H24" s="784">
        <f t="shared" si="1"/>
        <v>5</v>
      </c>
      <c r="I24" s="784">
        <f t="shared" si="1"/>
        <v>4.5</v>
      </c>
      <c r="J24" s="784">
        <f t="shared" si="1"/>
        <v>3</v>
      </c>
      <c r="K24" s="784">
        <f t="shared" si="1"/>
        <v>2</v>
      </c>
      <c r="L24" s="784">
        <f t="shared" si="1"/>
        <v>2</v>
      </c>
      <c r="M24" s="784">
        <f t="shared" si="1"/>
        <v>2</v>
      </c>
      <c r="N24" s="784">
        <f t="shared" si="1"/>
        <v>2</v>
      </c>
      <c r="O24" s="784">
        <f t="shared" si="1"/>
        <v>2</v>
      </c>
      <c r="P24" s="784">
        <f t="shared" si="1"/>
        <v>2</v>
      </c>
      <c r="Q24" s="784">
        <f t="shared" si="1"/>
        <v>2</v>
      </c>
      <c r="R24" s="784">
        <f t="shared" si="1"/>
        <v>2</v>
      </c>
      <c r="S24" s="787"/>
    </row>
    <row r="25" spans="2:23" x14ac:dyDescent="0.25">
      <c r="B25" s="781">
        <v>10000</v>
      </c>
      <c r="C25" s="784">
        <f t="shared" si="1"/>
        <v>4.5</v>
      </c>
      <c r="D25" s="784">
        <f t="shared" si="1"/>
        <v>4.5</v>
      </c>
      <c r="E25" s="784">
        <f t="shared" si="1"/>
        <v>4.5</v>
      </c>
      <c r="F25" s="784">
        <f t="shared" si="1"/>
        <v>4.5</v>
      </c>
      <c r="G25" s="784">
        <f t="shared" si="1"/>
        <v>4.5</v>
      </c>
      <c r="H25" s="784">
        <f t="shared" si="1"/>
        <v>4</v>
      </c>
      <c r="I25" s="784">
        <f t="shared" si="1"/>
        <v>4</v>
      </c>
      <c r="J25" s="784">
        <f t="shared" si="1"/>
        <v>3.5</v>
      </c>
      <c r="K25" s="784">
        <f t="shared" si="1"/>
        <v>2.5</v>
      </c>
      <c r="L25" s="784">
        <f t="shared" si="1"/>
        <v>2</v>
      </c>
      <c r="M25" s="784">
        <f t="shared" si="1"/>
        <v>2</v>
      </c>
      <c r="N25" s="784">
        <f t="shared" si="1"/>
        <v>2</v>
      </c>
      <c r="O25" s="784">
        <f t="shared" si="1"/>
        <v>2</v>
      </c>
      <c r="P25" s="784">
        <f t="shared" si="1"/>
        <v>2</v>
      </c>
      <c r="Q25" s="784">
        <f t="shared" si="1"/>
        <v>2</v>
      </c>
      <c r="R25" s="784">
        <f t="shared" si="1"/>
        <v>2</v>
      </c>
      <c r="S25" s="787"/>
    </row>
  </sheetData>
  <pageMargins left="0.7" right="0.7" top="0.75" bottom="0.75" header="0.3" footer="0.3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4226-859C-4355-A85C-CD6F88FF5A79}">
  <sheetPr codeName="Sheet34"/>
  <dimension ref="B2:D3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14.140625" customWidth="1"/>
  </cols>
  <sheetData>
    <row r="2" spans="2:4" x14ac:dyDescent="0.25">
      <c r="B2" t="s">
        <v>494</v>
      </c>
      <c r="C2">
        <v>100</v>
      </c>
      <c r="D2">
        <v>140</v>
      </c>
    </row>
    <row r="3" spans="2:4" x14ac:dyDescent="0.25">
      <c r="B3" t="s">
        <v>495</v>
      </c>
      <c r="C3">
        <v>100</v>
      </c>
      <c r="D3">
        <v>150</v>
      </c>
    </row>
  </sheetData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7A7E-BFFB-49D8-A5AD-EB4F4A1016A5}">
  <sheetPr codeName="Sheet35"/>
  <dimension ref="B2:B4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78.28515625" customWidth="1"/>
  </cols>
  <sheetData>
    <row r="2" spans="2:2" x14ac:dyDescent="0.25">
      <c r="B2" t="s">
        <v>55</v>
      </c>
    </row>
    <row r="4" spans="2:2" x14ac:dyDescent="0.25">
      <c r="B4" t="s">
        <v>429</v>
      </c>
    </row>
  </sheetData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E419-88DD-4337-9F72-1B7649CE5E04}">
  <sheetPr codeName="Sheet36"/>
  <dimension ref="A4:M65"/>
  <sheetViews>
    <sheetView showGridLines="0" view="pageLayout" topLeftCell="A7" zoomScaleNormal="100" workbookViewId="0">
      <selection activeCell="J29" sqref="J29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25" t="s">
        <v>0</v>
      </c>
      <c r="B4" s="1126"/>
      <c r="C4" s="1126"/>
      <c r="D4" s="1126"/>
      <c r="E4" s="1126"/>
      <c r="F4" s="1127"/>
    </row>
    <row r="5" spans="1:6" x14ac:dyDescent="0.2">
      <c r="A5" s="2" t="s">
        <v>1</v>
      </c>
      <c r="B5" s="1128" t="s">
        <v>575</v>
      </c>
      <c r="C5" s="1129"/>
      <c r="D5" s="3" t="s">
        <v>2</v>
      </c>
      <c r="E5" s="1130">
        <v>1</v>
      </c>
      <c r="F5" s="1131"/>
    </row>
    <row r="6" spans="1:6" x14ac:dyDescent="0.2">
      <c r="A6" s="4" t="s">
        <v>3</v>
      </c>
      <c r="B6" s="1132">
        <v>44281</v>
      </c>
      <c r="C6" s="1133"/>
      <c r="D6" s="5" t="s">
        <v>4</v>
      </c>
      <c r="E6" s="1134">
        <v>1</v>
      </c>
      <c r="F6" s="1135"/>
    </row>
    <row r="7" spans="1:6" x14ac:dyDescent="0.2">
      <c r="A7" s="6" t="s">
        <v>5</v>
      </c>
      <c r="B7" s="1121" t="s">
        <v>576</v>
      </c>
      <c r="C7" s="1122"/>
      <c r="D7" s="7" t="s">
        <v>6</v>
      </c>
      <c r="E7" s="1123"/>
      <c r="F7" s="1124"/>
    </row>
    <row r="9" spans="1:6" x14ac:dyDescent="0.2">
      <c r="A9" s="1111" t="s">
        <v>7</v>
      </c>
      <c r="B9" s="698"/>
      <c r="C9" s="699"/>
      <c r="D9" s="8" t="s">
        <v>8</v>
      </c>
      <c r="E9" s="8" t="s">
        <v>9</v>
      </c>
      <c r="F9" s="9" t="s">
        <v>10</v>
      </c>
    </row>
    <row r="10" spans="1:6" x14ac:dyDescent="0.2">
      <c r="A10" s="1112"/>
      <c r="B10" s="700"/>
      <c r="C10" s="701"/>
      <c r="D10" s="680"/>
      <c r="E10" s="10"/>
      <c r="F10" s="11"/>
    </row>
    <row r="12" spans="1:6" ht="12.75" customHeight="1" x14ac:dyDescent="0.2">
      <c r="A12" s="1113" t="s">
        <v>520</v>
      </c>
      <c r="B12" s="734" t="s">
        <v>534</v>
      </c>
      <c r="C12" s="735" t="s">
        <v>534</v>
      </c>
      <c r="D12" s="1114" t="s">
        <v>11</v>
      </c>
      <c r="E12" s="678"/>
      <c r="F12" s="676"/>
    </row>
    <row r="13" spans="1:6" x14ac:dyDescent="0.2">
      <c r="A13" s="1112"/>
      <c r="B13" s="736" t="s">
        <v>535</v>
      </c>
      <c r="C13" s="737" t="s">
        <v>535</v>
      </c>
      <c r="D13" s="1115"/>
      <c r="E13" s="679"/>
      <c r="F13" s="677"/>
    </row>
    <row r="15" spans="1:6" x14ac:dyDescent="0.2">
      <c r="A15" s="1116" t="s">
        <v>48</v>
      </c>
      <c r="B15" s="55">
        <v>-2.7</v>
      </c>
      <c r="C15" s="55">
        <v>-2.7</v>
      </c>
      <c r="D15" s="1118" t="s">
        <v>508</v>
      </c>
      <c r="E15" s="58">
        <v>1.5</v>
      </c>
      <c r="F15" s="59">
        <v>1.5</v>
      </c>
    </row>
    <row r="16" spans="1:6" x14ac:dyDescent="0.2">
      <c r="A16" s="1117"/>
      <c r="B16" s="57">
        <v>-2.4</v>
      </c>
      <c r="C16" s="57">
        <v>-2.4</v>
      </c>
      <c r="D16" s="1119"/>
      <c r="E16" s="721">
        <v>-1.7</v>
      </c>
      <c r="F16" s="722">
        <v>-1.7</v>
      </c>
    </row>
    <row r="17" spans="1:13" x14ac:dyDescent="0.2">
      <c r="A17" s="12" t="s">
        <v>12</v>
      </c>
      <c r="B17" s="741">
        <v>8.74</v>
      </c>
      <c r="C17" s="13">
        <v>8.74</v>
      </c>
      <c r="D17" s="14" t="s">
        <v>12</v>
      </c>
      <c r="E17" s="67"/>
      <c r="F17" s="15"/>
    </row>
    <row r="18" spans="1:13" x14ac:dyDescent="0.2">
      <c r="A18" s="16"/>
      <c r="B18" s="17">
        <v>5.4</v>
      </c>
      <c r="C18" s="17">
        <v>5.3</v>
      </c>
      <c r="D18" s="18"/>
      <c r="E18" s="775" t="s">
        <v>578</v>
      </c>
      <c r="F18" s="776" t="s">
        <v>579</v>
      </c>
    </row>
    <row r="20" spans="1:13" x14ac:dyDescent="0.2">
      <c r="A20" s="2" t="s">
        <v>374</v>
      </c>
      <c r="B20" s="19"/>
      <c r="C20" s="19" t="s">
        <v>14</v>
      </c>
      <c r="D20" s="19" t="s">
        <v>15</v>
      </c>
      <c r="E20" s="19" t="s">
        <v>16</v>
      </c>
      <c r="F20" s="352" t="s">
        <v>94</v>
      </c>
    </row>
    <row r="21" spans="1:13" x14ac:dyDescent="0.2">
      <c r="A21" s="21"/>
      <c r="B21" s="47" t="s">
        <v>13</v>
      </c>
      <c r="C21" s="57" t="s">
        <v>49</v>
      </c>
      <c r="D21" s="57" t="s">
        <v>566</v>
      </c>
      <c r="E21" s="23"/>
      <c r="F21" s="354" t="s">
        <v>567</v>
      </c>
    </row>
    <row r="22" spans="1:13" x14ac:dyDescent="0.2">
      <c r="A22" s="24"/>
      <c r="B22" s="25" t="s">
        <v>17</v>
      </c>
      <c r="C22" s="56" t="s">
        <v>49</v>
      </c>
      <c r="D22" s="60"/>
      <c r="E22" s="56" t="s">
        <v>49</v>
      </c>
      <c r="F22" s="353" t="s">
        <v>260</v>
      </c>
      <c r="H22" s="1120" t="s">
        <v>536</v>
      </c>
      <c r="I22" s="1120"/>
      <c r="J22" s="1120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3" ht="13.5" thickBot="1" x14ac:dyDescent="0.25">
      <c r="A25" s="29" t="s">
        <v>13</v>
      </c>
      <c r="B25" s="61" t="s">
        <v>528</v>
      </c>
      <c r="C25" s="61" t="s">
        <v>543</v>
      </c>
      <c r="D25" s="30" t="s">
        <v>13</v>
      </c>
      <c r="E25" s="709" t="s">
        <v>507</v>
      </c>
      <c r="F25" s="710">
        <v>3</v>
      </c>
      <c r="H25" s="748">
        <v>49.8</v>
      </c>
      <c r="I25" s="749">
        <v>49.4</v>
      </c>
      <c r="J25" s="757">
        <v>40.799999999999997</v>
      </c>
    </row>
    <row r="26" spans="1:13" ht="13.5" thickBot="1" x14ac:dyDescent="0.25">
      <c r="A26" s="32" t="s">
        <v>17</v>
      </c>
      <c r="B26" s="54" t="s">
        <v>554</v>
      </c>
      <c r="C26" s="54" t="s">
        <v>543</v>
      </c>
      <c r="D26" s="25" t="s">
        <v>17</v>
      </c>
      <c r="E26" s="711" t="s">
        <v>553</v>
      </c>
      <c r="F26" s="712" t="s">
        <v>553</v>
      </c>
      <c r="H26" s="761" t="s">
        <v>539</v>
      </c>
      <c r="I26" s="762" t="s">
        <v>540</v>
      </c>
      <c r="J26" s="763" t="s">
        <v>542</v>
      </c>
    </row>
    <row r="27" spans="1:13" ht="13.5" thickBot="1" x14ac:dyDescent="0.25">
      <c r="H27" s="746">
        <v>41.1</v>
      </c>
      <c r="I27" s="747">
        <v>44.8</v>
      </c>
      <c r="J27" s="764">
        <v>27.9</v>
      </c>
    </row>
    <row r="28" spans="1:13" x14ac:dyDescent="0.2">
      <c r="A28" s="2" t="s">
        <v>23</v>
      </c>
      <c r="B28" s="719">
        <v>22.5</v>
      </c>
      <c r="C28" s="719">
        <v>13.1</v>
      </c>
      <c r="D28" s="33"/>
      <c r="E28" s="9" t="s">
        <v>512</v>
      </c>
      <c r="F28" s="59" t="s">
        <v>514</v>
      </c>
      <c r="G28" s="220"/>
    </row>
    <row r="29" spans="1:13" x14ac:dyDescent="0.2">
      <c r="A29" s="24"/>
      <c r="B29" s="720">
        <v>7.8</v>
      </c>
      <c r="C29" s="720">
        <v>7.3</v>
      </c>
      <c r="D29" s="34"/>
      <c r="E29" s="34"/>
      <c r="F29" s="718" t="s">
        <v>515</v>
      </c>
      <c r="G29" s="220"/>
    </row>
    <row r="30" spans="1:13" ht="13.5" thickBot="1" x14ac:dyDescent="0.25">
      <c r="K30" s="756" t="s">
        <v>573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509</v>
      </c>
      <c r="F31" s="742" t="s">
        <v>481</v>
      </c>
      <c r="G31" s="768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</row>
    <row r="32" spans="1:13" x14ac:dyDescent="0.2">
      <c r="A32" s="29" t="s">
        <v>26</v>
      </c>
      <c r="B32" s="702" t="s">
        <v>217</v>
      </c>
      <c r="C32" s="739">
        <f>('04_Springs'!$O$10 -'04_Springs'!$C$13+'SETUP-SHEET_After21T03'!D32)*193</f>
        <v>2948.268</v>
      </c>
      <c r="D32" s="738">
        <v>14.3</v>
      </c>
      <c r="E32" s="703" t="s">
        <v>544</v>
      </c>
      <c r="F32" s="743" t="s">
        <v>549</v>
      </c>
      <c r="G32" s="770" t="s">
        <v>13</v>
      </c>
      <c r="H32" s="748">
        <v>15.1</v>
      </c>
      <c r="I32" s="749">
        <v>2</v>
      </c>
      <c r="J32" s="749">
        <v>87.405000000000001</v>
      </c>
      <c r="K32" s="769"/>
      <c r="L32" s="749">
        <f>$J32-$H32-$I32-49.8</f>
        <v>20.50500000000001</v>
      </c>
      <c r="M32" s="750">
        <f>$J32-$H32-$I32-49.8</f>
        <v>20.50500000000001</v>
      </c>
    </row>
    <row r="33" spans="1:13" ht="13.5" thickBot="1" x14ac:dyDescent="0.25">
      <c r="A33" s="29" t="s">
        <v>27</v>
      </c>
      <c r="B33" s="702" t="s">
        <v>234</v>
      </c>
      <c r="C33" s="739">
        <f>('04_Springs'!$O$11-'04_Springs'!$C$27+'SETUP-SHEET_After21T03'!D33)*193</f>
        <v>2675.5589999999997</v>
      </c>
      <c r="D33" s="738">
        <v>19</v>
      </c>
      <c r="E33" s="702" t="s">
        <v>545</v>
      </c>
      <c r="F33" s="744" t="s">
        <v>550</v>
      </c>
      <c r="G33" s="771" t="s">
        <v>17</v>
      </c>
      <c r="H33" s="748">
        <v>15.1</v>
      </c>
      <c r="I33" s="749">
        <v>2</v>
      </c>
      <c r="J33" s="749">
        <v>96.4</v>
      </c>
      <c r="K33" s="769"/>
      <c r="L33" s="749">
        <f>$J$33-$H$33-$I$33-41.1</f>
        <v>38.20000000000001</v>
      </c>
      <c r="M33" s="750">
        <f>$J$33-$H$33-$I$33-44.8</f>
        <v>34.500000000000014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08" t="s">
        <v>546</v>
      </c>
      <c r="F34" s="744" t="s">
        <v>548</v>
      </c>
      <c r="G34" s="772" t="s">
        <v>89</v>
      </c>
      <c r="H34" s="752"/>
      <c r="I34" s="753"/>
      <c r="J34" s="208">
        <v>172.52</v>
      </c>
      <c r="K34" s="208">
        <v>70.3</v>
      </c>
      <c r="L34" s="1248">
        <f>J34-K34-40.8</f>
        <v>61.420000000000016</v>
      </c>
      <c r="M34" s="1249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706" t="s">
        <v>547</v>
      </c>
      <c r="F35" s="751">
        <f>28.2+36.2</f>
        <v>64.400000000000006</v>
      </c>
      <c r="G35" s="773" t="s">
        <v>90</v>
      </c>
      <c r="H35" s="754"/>
      <c r="I35" s="755"/>
      <c r="J35" s="745">
        <v>232.88499999999999</v>
      </c>
      <c r="K35" s="745">
        <v>140</v>
      </c>
      <c r="L35" s="1250">
        <f>J35-K35-27.9</f>
        <v>64.984999999999985</v>
      </c>
      <c r="M35" s="1251"/>
    </row>
    <row r="36" spans="1:13" x14ac:dyDescent="0.2">
      <c r="C36" s="1110" t="s">
        <v>574</v>
      </c>
      <c r="D36" s="1110"/>
      <c r="E36" s="1110"/>
      <c r="F36" s="1110"/>
    </row>
    <row r="37" spans="1:13" x14ac:dyDescent="0.2">
      <c r="A37" s="2" t="s">
        <v>30</v>
      </c>
      <c r="B37" s="33"/>
      <c r="C37" s="37" t="s">
        <v>484</v>
      </c>
      <c r="D37" s="37"/>
      <c r="E37" s="37" t="s">
        <v>485</v>
      </c>
      <c r="F37" s="38"/>
    </row>
    <row r="38" spans="1:13" x14ac:dyDescent="0.2">
      <c r="A38" s="62" t="s">
        <v>482</v>
      </c>
      <c r="B38" s="635" t="s">
        <v>486</v>
      </c>
      <c r="C38" s="713" t="s">
        <v>555</v>
      </c>
      <c r="D38" s="703" t="s">
        <v>556</v>
      </c>
      <c r="E38" s="703" t="s">
        <v>557</v>
      </c>
      <c r="F38" s="714" t="s">
        <v>558</v>
      </c>
    </row>
    <row r="39" spans="1:13" x14ac:dyDescent="0.2">
      <c r="A39" s="63" t="s">
        <v>482</v>
      </c>
      <c r="B39" s="636" t="s">
        <v>487</v>
      </c>
      <c r="C39" s="711" t="s">
        <v>559</v>
      </c>
      <c r="D39" s="711" t="s">
        <v>560</v>
      </c>
      <c r="E39" s="711" t="s">
        <v>561</v>
      </c>
      <c r="F39" s="712" t="s">
        <v>561</v>
      </c>
    </row>
    <row r="40" spans="1:13" x14ac:dyDescent="0.2">
      <c r="C40" s="1110" t="s">
        <v>574</v>
      </c>
      <c r="D40" s="1110"/>
      <c r="E40" s="1110"/>
      <c r="F40" s="1110"/>
    </row>
    <row r="41" spans="1:13" x14ac:dyDescent="0.2">
      <c r="A41" s="2" t="s">
        <v>33</v>
      </c>
      <c r="B41" s="33"/>
      <c r="C41" s="37" t="s">
        <v>31</v>
      </c>
      <c r="D41" s="637"/>
      <c r="E41" s="37" t="s">
        <v>32</v>
      </c>
      <c r="F41" s="638"/>
    </row>
    <row r="42" spans="1:13" x14ac:dyDescent="0.2">
      <c r="A42" s="62" t="s">
        <v>483</v>
      </c>
      <c r="B42" s="635" t="s">
        <v>13</v>
      </c>
      <c r="C42" s="703" t="s">
        <v>562</v>
      </c>
      <c r="D42" s="639"/>
      <c r="E42" s="716" t="s">
        <v>563</v>
      </c>
      <c r="F42" s="48"/>
    </row>
    <row r="43" spans="1:13" x14ac:dyDescent="0.2">
      <c r="A43" s="63" t="s">
        <v>483</v>
      </c>
      <c r="B43" s="636" t="s">
        <v>17</v>
      </c>
      <c r="C43" s="715" t="s">
        <v>564</v>
      </c>
      <c r="D43" s="640"/>
      <c r="E43" s="717" t="s">
        <v>565</v>
      </c>
      <c r="F43" s="641"/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" t="s">
        <v>35</v>
      </c>
      <c r="D45" s="55"/>
      <c r="E45" s="8" t="s">
        <v>36</v>
      </c>
      <c r="F45" s="68" t="s">
        <v>568</v>
      </c>
    </row>
    <row r="46" spans="1:13" x14ac:dyDescent="0.2">
      <c r="A46" s="740" t="s">
        <v>526</v>
      </c>
      <c r="B46" s="56">
        <v>60</v>
      </c>
      <c r="C46" s="34"/>
      <c r="D46" s="56"/>
      <c r="E46" s="40"/>
      <c r="F46" s="41"/>
    </row>
    <row r="48" spans="1:13" x14ac:dyDescent="0.2">
      <c r="A48" s="42" t="s">
        <v>37</v>
      </c>
      <c r="B48" s="705" t="s">
        <v>510</v>
      </c>
      <c r="C48" s="44"/>
      <c r="D48" s="44"/>
      <c r="E48" s="44"/>
      <c r="F48" s="45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704" t="s">
        <v>527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45</v>
      </c>
      <c r="F53" s="65">
        <v>30</v>
      </c>
    </row>
    <row r="55" spans="1:6" x14ac:dyDescent="0.2">
      <c r="A55" s="42" t="s">
        <v>45</v>
      </c>
      <c r="B55" s="66" t="s">
        <v>51</v>
      </c>
      <c r="C55" s="44"/>
      <c r="D55" s="52" t="s">
        <v>46</v>
      </c>
      <c r="E55" s="66">
        <v>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B58" s="220"/>
      <c r="C58" s="220"/>
      <c r="D58" s="220"/>
      <c r="E58" s="220"/>
      <c r="F58" s="356" t="s">
        <v>511</v>
      </c>
    </row>
    <row r="59" spans="1:6" x14ac:dyDescent="0.2">
      <c r="A59" s="682"/>
      <c r="B59" s="220"/>
      <c r="C59" s="220"/>
      <c r="D59" s="220"/>
      <c r="E59" s="220"/>
      <c r="F59" s="355" t="s">
        <v>263</v>
      </c>
    </row>
    <row r="60" spans="1:6" x14ac:dyDescent="0.2">
      <c r="A60" s="681"/>
      <c r="B60" s="220"/>
      <c r="C60" s="220"/>
      <c r="D60" s="220"/>
      <c r="E60" s="220"/>
      <c r="F60" s="356" t="s">
        <v>511</v>
      </c>
    </row>
    <row r="61" spans="1:6" x14ac:dyDescent="0.2">
      <c r="A61" s="681"/>
      <c r="B61" s="220"/>
      <c r="C61" s="220"/>
      <c r="D61" s="220"/>
      <c r="E61" s="220"/>
      <c r="F61" s="355" t="s">
        <v>264</v>
      </c>
    </row>
    <row r="62" spans="1:6" x14ac:dyDescent="0.2">
      <c r="A62" s="681"/>
      <c r="B62" s="220"/>
      <c r="C62" s="220"/>
      <c r="D62" s="220"/>
      <c r="E62" s="220"/>
      <c r="F62" s="31" t="s">
        <v>513</v>
      </c>
    </row>
    <row r="63" spans="1:6" x14ac:dyDescent="0.2">
      <c r="A63" s="681"/>
      <c r="B63" s="220"/>
      <c r="C63" s="220"/>
      <c r="D63" s="220"/>
      <c r="E63" s="220"/>
      <c r="F63" s="683"/>
    </row>
    <row r="64" spans="1:6" x14ac:dyDescent="0.2">
      <c r="A64" s="681"/>
      <c r="B64" s="220"/>
      <c r="C64" s="220"/>
      <c r="D64" s="220"/>
      <c r="E64" s="220"/>
      <c r="F64" s="683"/>
    </row>
    <row r="65" spans="1:6" x14ac:dyDescent="0.2">
      <c r="A65" s="16"/>
      <c r="B65" s="18"/>
      <c r="C65" s="18"/>
      <c r="D65" s="18"/>
      <c r="E65" s="18"/>
      <c r="F65" s="684"/>
    </row>
  </sheetData>
  <mergeCells count="17">
    <mergeCell ref="L34:M34"/>
    <mergeCell ref="L35:M35"/>
    <mergeCell ref="H22:J22"/>
    <mergeCell ref="C36:F36"/>
    <mergeCell ref="C40:F40"/>
    <mergeCell ref="A4:F4"/>
    <mergeCell ref="B5:C5"/>
    <mergeCell ref="E5:F5"/>
    <mergeCell ref="B6:C6"/>
    <mergeCell ref="E6:F6"/>
    <mergeCell ref="A15:A16"/>
    <mergeCell ref="D15:D16"/>
    <mergeCell ref="B7:C7"/>
    <mergeCell ref="E7:F7"/>
    <mergeCell ref="A9:A10"/>
    <mergeCell ref="A12:A13"/>
    <mergeCell ref="D12:D13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E4B6-0B61-4B50-9B2F-645D3BAA59EC}">
  <sheetPr codeName="Sheet37"/>
  <dimension ref="B1:S35"/>
  <sheetViews>
    <sheetView showGridLines="0" zoomScale="85" zoomScaleNormal="85" workbookViewId="0">
      <selection activeCell="N20" sqref="N20"/>
    </sheetView>
  </sheetViews>
  <sheetFormatPr defaultColWidth="9.140625" defaultRowHeight="15" x14ac:dyDescent="0.25"/>
  <cols>
    <col min="1" max="1" width="3.7109375" style="380" customWidth="1"/>
    <col min="2" max="3" width="20.42578125" style="380" customWidth="1"/>
    <col min="4" max="4" width="18.5703125" style="380" customWidth="1"/>
    <col min="5" max="5" width="17.5703125" style="380" customWidth="1"/>
    <col min="6" max="6" width="3.7109375" style="380" customWidth="1"/>
    <col min="7" max="7" width="41.5703125" style="380" bestFit="1" customWidth="1"/>
    <col min="8" max="8" width="9" style="380" bestFit="1" customWidth="1"/>
    <col min="9" max="9" width="20" style="380" bestFit="1" customWidth="1"/>
    <col min="10" max="10" width="12" style="380" bestFit="1" customWidth="1"/>
    <col min="11" max="11" width="6.42578125" style="380" bestFit="1" customWidth="1"/>
    <col min="12" max="12" width="9.140625" style="380"/>
    <col min="13" max="13" width="27.85546875" style="380" customWidth="1"/>
    <col min="14" max="15" width="10" style="380" bestFit="1" customWidth="1"/>
    <col min="16" max="16" width="5.85546875" style="380" bestFit="1" customWidth="1"/>
    <col min="17" max="16384" width="9.140625" style="380"/>
  </cols>
  <sheetData>
    <row r="1" spans="2:19" ht="15.75" thickBot="1" x14ac:dyDescent="0.3"/>
    <row r="2" spans="2:19" x14ac:dyDescent="0.25">
      <c r="B2" s="897" t="s">
        <v>185</v>
      </c>
      <c r="C2" s="898" t="s">
        <v>34</v>
      </c>
      <c r="D2" s="460"/>
      <c r="E2" s="460"/>
      <c r="G2" s="1226" t="s">
        <v>135</v>
      </c>
      <c r="H2" s="1227"/>
      <c r="I2" s="1227"/>
      <c r="J2" s="1227"/>
      <c r="K2" s="1227"/>
      <c r="L2" s="1227"/>
      <c r="M2" s="1227"/>
      <c r="N2" s="1227"/>
      <c r="O2" s="1227"/>
      <c r="P2" s="1227"/>
      <c r="Q2" s="1228"/>
    </row>
    <row r="3" spans="2:19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229" t="s">
        <v>177</v>
      </c>
      <c r="H4" s="1230"/>
      <c r="I4" s="1231"/>
      <c r="J4" s="381"/>
      <c r="K4" s="381"/>
      <c r="L4" s="381"/>
      <c r="M4" s="1229" t="s">
        <v>179</v>
      </c>
      <c r="N4" s="1230"/>
      <c r="O4" s="1230"/>
      <c r="P4" s="1230"/>
      <c r="Q4" s="1231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531</v>
      </c>
      <c r="H5" s="723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533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532</v>
      </c>
      <c r="H6" s="723">
        <f>45/2</f>
        <v>22.5</v>
      </c>
      <c r="I6" s="381" t="s">
        <v>136</v>
      </c>
      <c r="J6" s="381"/>
      <c r="K6" s="381"/>
      <c r="L6" s="381"/>
      <c r="M6" s="82" t="s">
        <v>529</v>
      </c>
      <c r="N6" s="261">
        <v>0.61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23058</v>
      </c>
      <c r="O9" s="176">
        <f>N5*(1-N6)</f>
        <v>14742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25" t="s">
        <v>175</v>
      </c>
      <c r="H11" s="726">
        <v>0</v>
      </c>
      <c r="I11" s="726" t="s">
        <v>145</v>
      </c>
      <c r="J11" s="381"/>
      <c r="K11" s="381"/>
      <c r="L11" s="381"/>
      <c r="M11" s="381" t="s">
        <v>146</v>
      </c>
      <c r="N11" s="176">
        <f>N9*N10/2</f>
        <v>3989.0339999999997</v>
      </c>
      <c r="O11" s="176">
        <f>O9*O10/2</f>
        <v>2550.366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25" t="s">
        <v>176</v>
      </c>
      <c r="H12" s="726">
        <v>0</v>
      </c>
      <c r="I12" s="726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24397.761467889904</v>
      </c>
      <c r="O13" s="176">
        <f>O11/O12</f>
        <v>16889.841059602648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19.100000000000001</v>
      </c>
      <c r="I14" s="381" t="s">
        <v>67</v>
      </c>
      <c r="J14" s="176">
        <f>PI()*H14^2/4</f>
        <v>286.52110398902317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97.435149632148182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48795.522935779809</v>
      </c>
      <c r="O15" s="176">
        <f>O13/O14</f>
        <v>33779.682119205296</v>
      </c>
      <c r="P15" s="388"/>
      <c r="Q15" s="87"/>
      <c r="S15" s="380" t="s">
        <v>610</v>
      </c>
    </row>
    <row r="16" spans="2:19" ht="15.75" thickBot="1" x14ac:dyDescent="0.3">
      <c r="B16" s="534" t="s">
        <v>431</v>
      </c>
      <c r="C16" s="95" t="s">
        <v>530</v>
      </c>
      <c r="D16" s="97"/>
      <c r="E16" s="381"/>
      <c r="G16" s="99" t="s">
        <v>154</v>
      </c>
      <c r="H16" s="259">
        <f>O17</f>
        <v>67.451441931320488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96">
        <v>2.5000000000000001E-3</v>
      </c>
    </row>
    <row r="17" spans="2:19" x14ac:dyDescent="0.25">
      <c r="G17" s="727" t="s">
        <v>156</v>
      </c>
      <c r="H17" s="728">
        <v>0</v>
      </c>
      <c r="I17" s="729" t="s">
        <v>67</v>
      </c>
      <c r="J17" s="381"/>
      <c r="K17" s="381"/>
      <c r="L17" s="381"/>
      <c r="M17" s="381" t="s">
        <v>157</v>
      </c>
      <c r="N17" s="259">
        <f>N15/N16/100000/2</f>
        <v>97.435149632148182</v>
      </c>
      <c r="O17" s="259">
        <f>O15/O16/100000/2</f>
        <v>67.451441931320488</v>
      </c>
      <c r="P17" s="388" t="s">
        <v>153</v>
      </c>
      <c r="Q17" s="146">
        <f>N17/(N17+O17)</f>
        <v>0.59092221331194861</v>
      </c>
      <c r="S17" s="796">
        <v>1.895E-3</v>
      </c>
    </row>
    <row r="18" spans="2:19" x14ac:dyDescent="0.25">
      <c r="B18" s="546" t="s">
        <v>434</v>
      </c>
      <c r="C18" s="547"/>
      <c r="D18" s="547"/>
      <c r="E18" s="548"/>
      <c r="G18" s="730" t="s">
        <v>158</v>
      </c>
      <c r="H18" s="731">
        <v>0</v>
      </c>
      <c r="I18" s="732" t="s">
        <v>67</v>
      </c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488</v>
      </c>
      <c r="C19" s="381"/>
      <c r="E19" s="382"/>
      <c r="G19" s="99" t="s">
        <v>159</v>
      </c>
      <c r="H19" s="256">
        <f>N16*1000000</f>
        <v>2503.9999999999995</v>
      </c>
      <c r="I19" s="87" t="s">
        <v>149</v>
      </c>
      <c r="J19" s="381"/>
      <c r="K19" s="381"/>
      <c r="L19" s="381"/>
      <c r="M19" s="381" t="s">
        <v>160</v>
      </c>
      <c r="N19" s="254">
        <v>16.8</v>
      </c>
      <c r="O19" s="254">
        <v>19.100000000000001</v>
      </c>
      <c r="P19" s="388" t="s">
        <v>67</v>
      </c>
      <c r="Q19" s="87"/>
    </row>
    <row r="20" spans="2:19" ht="15.75" thickBot="1" x14ac:dyDescent="0.3">
      <c r="B20" s="549" t="s">
        <v>249</v>
      </c>
      <c r="C20" s="550" t="s">
        <v>439</v>
      </c>
      <c r="D20" s="646" t="s">
        <v>490</v>
      </c>
      <c r="E20" s="551" t="s">
        <v>440</v>
      </c>
      <c r="G20" s="100" t="s">
        <v>161</v>
      </c>
      <c r="H20" s="795">
        <f>O16*1000000</f>
        <v>2503.9999999999995</v>
      </c>
      <c r="I20" s="142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2.8637585000000008E-4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126">
        <v>1</v>
      </c>
      <c r="D21" s="71" t="s">
        <v>184</v>
      </c>
      <c r="E21" s="561">
        <v>0</v>
      </c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2158.7575856259341</v>
      </c>
      <c r="O21" s="176">
        <f>O17*O20*100000</f>
        <v>1931.6464016807549</v>
      </c>
      <c r="P21" s="388" t="s">
        <v>182</v>
      </c>
      <c r="Q21" s="87"/>
    </row>
    <row r="22" spans="2:19" ht="15.75" thickBot="1" x14ac:dyDescent="0.3">
      <c r="B22" s="552" t="s">
        <v>437</v>
      </c>
      <c r="C22" s="126">
        <v>0.6</v>
      </c>
      <c r="D22" s="71">
        <v>93.3</v>
      </c>
      <c r="E22" s="561">
        <v>-0.06</v>
      </c>
      <c r="G22" s="1234" t="s">
        <v>178</v>
      </c>
      <c r="H22" s="1235"/>
      <c r="I22" s="1236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126">
        <v>0.5</v>
      </c>
      <c r="D23" s="71">
        <v>76.3</v>
      </c>
      <c r="E23" s="561">
        <v>-0.12</v>
      </c>
      <c r="G23" s="99"/>
      <c r="H23" s="381"/>
      <c r="I23" s="381"/>
      <c r="J23" s="381"/>
      <c r="K23" s="381"/>
      <c r="L23" s="381"/>
      <c r="M23" s="82" t="s">
        <v>164</v>
      </c>
      <c r="N23" s="1237">
        <f>N21/(N21+O21)</f>
        <v>0.52776146129452606</v>
      </c>
      <c r="O23" s="1237"/>
      <c r="P23" s="724" t="s">
        <v>184</v>
      </c>
      <c r="Q23" s="87"/>
      <c r="S23" s="380">
        <v>1282</v>
      </c>
    </row>
    <row r="24" spans="2:19" x14ac:dyDescent="0.25">
      <c r="B24" s="552" t="s">
        <v>438</v>
      </c>
      <c r="C24" s="562">
        <v>0.42</v>
      </c>
      <c r="D24" s="71">
        <v>66.3</v>
      </c>
      <c r="E24" s="561">
        <v>-0.18</v>
      </c>
      <c r="G24" s="99" t="s">
        <v>165</v>
      </c>
      <c r="H24" s="176">
        <f>2*H15*H5+H12*H15*H8+H11*H15*H7+H17*H19</f>
        <v>4871.7574816074093</v>
      </c>
      <c r="I24" s="381" t="s">
        <v>166</v>
      </c>
      <c r="J24" s="381"/>
      <c r="K24" s="381"/>
      <c r="L24" s="381"/>
      <c r="M24" s="82" t="s">
        <v>167</v>
      </c>
      <c r="N24" s="1232">
        <v>3.6</v>
      </c>
      <c r="O24" s="1232"/>
      <c r="P24" s="724" t="s">
        <v>184</v>
      </c>
      <c r="Q24" s="87"/>
      <c r="S24" s="380">
        <v>1124</v>
      </c>
    </row>
    <row r="25" spans="2:19" x14ac:dyDescent="0.25">
      <c r="B25" s="552" t="s">
        <v>441</v>
      </c>
      <c r="C25" s="562">
        <v>0.35</v>
      </c>
      <c r="D25" s="71">
        <v>55.3</v>
      </c>
      <c r="E25" s="561">
        <v>-0.24</v>
      </c>
      <c r="G25" s="99" t="s">
        <v>168</v>
      </c>
      <c r="H25" s="176">
        <f>2*H6*H16+H12*H10*H16+H11*H9*H16+H18*H20</f>
        <v>3035.3148869094221</v>
      </c>
      <c r="I25" s="381" t="s">
        <v>166</v>
      </c>
      <c r="J25" s="381"/>
      <c r="K25" s="381"/>
      <c r="L25" s="381"/>
      <c r="M25" s="82" t="s">
        <v>169</v>
      </c>
      <c r="N25" s="1233">
        <f>(N21+O21)/N24</f>
        <v>1136.2233298074136</v>
      </c>
      <c r="O25" s="1233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562">
        <v>0.28999999999999998</v>
      </c>
      <c r="D26" s="71">
        <v>46.3</v>
      </c>
      <c r="E26" s="561">
        <v>-0.3</v>
      </c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/>
      <c r="C27" s="563"/>
      <c r="E27" s="564"/>
      <c r="G27" s="262" t="s">
        <v>170</v>
      </c>
      <c r="H27" s="257">
        <f>H24/J13</f>
        <v>21.977445712662771</v>
      </c>
      <c r="I27" s="381" t="s">
        <v>67</v>
      </c>
      <c r="J27" s="82" t="s">
        <v>171</v>
      </c>
      <c r="K27" s="257">
        <f>H27-H28</f>
        <v>11.383758739344019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 t="s">
        <v>489</v>
      </c>
      <c r="C28" s="563"/>
      <c r="E28" s="564"/>
      <c r="G28" s="262" t="s">
        <v>172</v>
      </c>
      <c r="H28" s="257">
        <f>H25/J14</f>
        <v>10.593686973318752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549" t="s">
        <v>249</v>
      </c>
      <c r="C29" s="566" t="s">
        <v>439</v>
      </c>
      <c r="D29" s="646" t="s">
        <v>490</v>
      </c>
      <c r="E29" s="567" t="s">
        <v>440</v>
      </c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435</v>
      </c>
      <c r="C30" s="126">
        <v>1</v>
      </c>
      <c r="D30" s="71" t="s">
        <v>184</v>
      </c>
      <c r="E30" s="561">
        <v>0</v>
      </c>
      <c r="G30" s="99" t="s">
        <v>173</v>
      </c>
      <c r="H30" s="257">
        <f>(H27+H28)/2</f>
        <v>16.285566342990762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437</v>
      </c>
      <c r="C31" s="126">
        <v>0.75</v>
      </c>
      <c r="D31" s="71">
        <v>95.5</v>
      </c>
      <c r="E31" s="561">
        <v>-0.06</v>
      </c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436</v>
      </c>
      <c r="C32" s="126">
        <v>0.63</v>
      </c>
      <c r="D32" s="71">
        <v>81.5</v>
      </c>
      <c r="E32" s="561">
        <v>-0.12</v>
      </c>
      <c r="G32" s="141" t="s">
        <v>174</v>
      </c>
      <c r="H32" s="258">
        <f>N24*H30</f>
        <v>58.628038834766748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5" x14ac:dyDescent="0.25">
      <c r="B33" s="552" t="s">
        <v>438</v>
      </c>
      <c r="C33" s="554">
        <v>0.55000000000000004</v>
      </c>
      <c r="D33" s="71">
        <v>70.5</v>
      </c>
      <c r="E33" s="553">
        <v>-0.18</v>
      </c>
    </row>
    <row r="34" spans="2:5" x14ac:dyDescent="0.25">
      <c r="B34" s="552" t="s">
        <v>441</v>
      </c>
      <c r="C34" s="554">
        <v>0.47</v>
      </c>
      <c r="D34" s="71">
        <v>60.5</v>
      </c>
      <c r="E34" s="556">
        <v>-0.24</v>
      </c>
    </row>
    <row r="35" spans="2:5" x14ac:dyDescent="0.25">
      <c r="B35" s="555" t="s">
        <v>442</v>
      </c>
      <c r="C35" s="560">
        <v>0.41</v>
      </c>
      <c r="D35" s="673">
        <v>53.5</v>
      </c>
      <c r="E35" s="557">
        <v>-0.3</v>
      </c>
    </row>
  </sheetData>
  <mergeCells count="7">
    <mergeCell ref="N25:O25"/>
    <mergeCell ref="G2:Q2"/>
    <mergeCell ref="G4:I4"/>
    <mergeCell ref="M4:Q4"/>
    <mergeCell ref="G22:I22"/>
    <mergeCell ref="N23:O23"/>
    <mergeCell ref="N24:O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Setup_Log_NEW</vt:lpstr>
      <vt:lpstr>SETUP-SHEET for 21R03 #709</vt:lpstr>
      <vt:lpstr>SETUP-SHEET for 21R03 #708</vt:lpstr>
      <vt:lpstr>Setup_Log</vt:lpstr>
      <vt:lpstr>Driver_Fit_709</vt:lpstr>
      <vt:lpstr>01_Aerodynamics</vt:lpstr>
      <vt:lpstr>01_Aerodynamics2</vt:lpstr>
      <vt:lpstr>02_3rd elements</vt:lpstr>
      <vt:lpstr>03_Anti-Roll Bars (LM-FP3)</vt:lpstr>
      <vt:lpstr>03_Anti-Roll Bars (LM-FP1)</vt:lpstr>
      <vt:lpstr>03_Anti-Roll Bars (LM-Test)</vt:lpstr>
      <vt:lpstr>03_Anti-Roll Bars (MNZ)</vt:lpstr>
      <vt:lpstr>03_Anti-Roll Bars (POR) (2)</vt:lpstr>
      <vt:lpstr>03_Anti-Roll Bars (POR)</vt:lpstr>
      <vt:lpstr>03_Anti-Roll Bars (VAL)</vt:lpstr>
      <vt:lpstr>03_Anti-Roll Bars</vt:lpstr>
      <vt:lpstr>04_Springs</vt:lpstr>
      <vt:lpstr>05_Bump-stops</vt:lpstr>
      <vt:lpstr>06_Dampers</vt:lpstr>
      <vt:lpstr>07_Brakes</vt:lpstr>
      <vt:lpstr>08_Gearbox</vt:lpstr>
      <vt:lpstr>09_Differential</vt:lpstr>
      <vt:lpstr>10_Engine</vt:lpstr>
      <vt:lpstr>11_Traction Control</vt:lpstr>
      <vt:lpstr>12_Kinematics</vt:lpstr>
      <vt:lpstr>13_Ballast</vt:lpstr>
      <vt:lpstr>14_Bodywork</vt:lpstr>
      <vt:lpstr>_calculations</vt:lpstr>
      <vt:lpstr>_constants</vt:lpstr>
      <vt:lpstr>08b_Gearbox_Long-Proposal</vt:lpstr>
      <vt:lpstr>LoadCell</vt:lpstr>
      <vt:lpstr>TC_DRY</vt:lpstr>
      <vt:lpstr>TC_DRY (2)</vt:lpstr>
      <vt:lpstr>TC_WET</vt:lpstr>
      <vt:lpstr>Thermax</vt:lpstr>
      <vt:lpstr>_todo</vt:lpstr>
      <vt:lpstr>SETUP-SHEET_After21T03</vt:lpstr>
      <vt:lpstr>07_Brakes_Experiments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Stefano.Rapisarda</dc:creator>
  <cp:lastModifiedBy>Fabio Vitti</cp:lastModifiedBy>
  <cp:lastPrinted>2021-07-13T16:53:24Z</cp:lastPrinted>
  <dcterms:created xsi:type="dcterms:W3CDTF">2021-01-07T16:16:54Z</dcterms:created>
  <dcterms:modified xsi:type="dcterms:W3CDTF">2021-08-19T18:24:37Z</dcterms:modified>
</cp:coreProperties>
</file>