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9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2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3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4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25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13_ncr:1_{475F4D71-57E4-465D-B33F-84AE38C90EC8}" xr6:coauthVersionLast="47" xr6:coauthVersionMax="47" xr10:uidLastSave="{00000000-0000-0000-0000-000000000000}"/>
  <bookViews>
    <workbookView xWindow="1500" yWindow="-120" windowWidth="27420" windowHeight="16440" tabRatio="941" xr2:uid="{E85B239D-F83C-45ED-B7E1-DA8BBBF6FCBC}"/>
  </bookViews>
  <sheets>
    <sheet name="Setup_Log_NEW" sheetId="42" r:id="rId1"/>
    <sheet name="SETUP-SHEET for 21R03 #709" sheetId="40" r:id="rId2"/>
    <sheet name="SETUP-SHEET for 21R03 #708" sheetId="34" r:id="rId3"/>
    <sheet name="Setup_Log" sheetId="26" r:id="rId4"/>
    <sheet name="Driver_Fit_709" sheetId="37" r:id="rId5"/>
    <sheet name="01_Aerodynamics" sheetId="7" r:id="rId6"/>
    <sheet name="01_Aerodynamics2" sheetId="39" r:id="rId7"/>
    <sheet name="02_3rd elements" sheetId="4" r:id="rId8"/>
    <sheet name="03_Anti-Roll Bars (LM-FP3)" sheetId="50" r:id="rId9"/>
    <sheet name="03_Anti-Roll Bars (LM-FP1)" sheetId="49" r:id="rId10"/>
    <sheet name="03_Anti-Roll Bars (LM-Test)" sheetId="48" r:id="rId11"/>
    <sheet name="03_Anti-Roll Bars (MNZ)" sheetId="47" r:id="rId12"/>
    <sheet name="03_Anti-Roll Bars (POR) (2)" sheetId="46" r:id="rId13"/>
    <sheet name="03_Anti-Roll Bars (POR)" sheetId="44" r:id="rId14"/>
    <sheet name="03_Anti-Roll Bars (VAL)" sheetId="43" r:id="rId15"/>
    <sheet name="03_Anti-Roll Bars" sheetId="20" r:id="rId16"/>
    <sheet name="04_Springs" sheetId="3" r:id="rId17"/>
    <sheet name="05_Bump-stops" sheetId="9" r:id="rId18"/>
    <sheet name="06_Dampers" sheetId="5" r:id="rId19"/>
    <sheet name="07_Brakes" sheetId="2" r:id="rId20"/>
    <sheet name="08_Gearbox" sheetId="12" r:id="rId21"/>
    <sheet name="09_Differential" sheetId="15" r:id="rId22"/>
    <sheet name="10_Engine" sheetId="8" r:id="rId23"/>
    <sheet name="11_Traction Control" sheetId="14" r:id="rId24"/>
    <sheet name="12_Kinematics" sheetId="16" r:id="rId25"/>
    <sheet name="13_Ballast" sheetId="18" r:id="rId26"/>
    <sheet name="14_Bodywork" sheetId="19" r:id="rId27"/>
    <sheet name="_calculations" sheetId="10" r:id="rId28"/>
    <sheet name="_constants" sheetId="17" r:id="rId29"/>
    <sheet name="08b_Gearbox_Long-Proposal" sheetId="21" r:id="rId30"/>
    <sheet name="LoadCell" sheetId="31" r:id="rId31"/>
    <sheet name="TC_DRY" sheetId="28" r:id="rId32"/>
    <sheet name="TC_DRY (2)" sheetId="32" r:id="rId33"/>
    <sheet name="TC_WET" sheetId="30" r:id="rId34"/>
    <sheet name="Thermax" sheetId="22" r:id="rId35"/>
    <sheet name="_todo" sheetId="11" r:id="rId36"/>
    <sheet name="SETUP-SHEET_After21T03" sheetId="1" r:id="rId37"/>
    <sheet name="07_Brakes_Experiments" sheetId="33" r:id="rId38"/>
  </sheets>
  <externalReferences>
    <externalReference r:id="rId3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55" i="50" l="1"/>
  <c r="AG55" i="50"/>
  <c r="AH54" i="50"/>
  <c r="AI55" i="50" s="1"/>
  <c r="AG54" i="50"/>
  <c r="AH53" i="50"/>
  <c r="AI53" i="50" s="1"/>
  <c r="AG53" i="50"/>
  <c r="AH52" i="50"/>
  <c r="AI52" i="50" s="1"/>
  <c r="AG52" i="50"/>
  <c r="AH51" i="50"/>
  <c r="AI51" i="50" s="1"/>
  <c r="AG51" i="50"/>
  <c r="AI50" i="50"/>
  <c r="AH50" i="50"/>
  <c r="AG50" i="50"/>
  <c r="AH49" i="50"/>
  <c r="AI49" i="50" s="1"/>
  <c r="AG49" i="50"/>
  <c r="AI48" i="50"/>
  <c r="AH48" i="50"/>
  <c r="AG48" i="50"/>
  <c r="AH47" i="50"/>
  <c r="AG47" i="50"/>
  <c r="AH46" i="50"/>
  <c r="AI47" i="50" s="1"/>
  <c r="AG46" i="50"/>
  <c r="AH45" i="50"/>
  <c r="AI45" i="50" s="1"/>
  <c r="AG45" i="50"/>
  <c r="AH44" i="50"/>
  <c r="AI44" i="50" s="1"/>
  <c r="AG44" i="50"/>
  <c r="AH43" i="50"/>
  <c r="AI43" i="50" s="1"/>
  <c r="AG43" i="50"/>
  <c r="AI42" i="50"/>
  <c r="AH42" i="50"/>
  <c r="AG42" i="50"/>
  <c r="AH41" i="50"/>
  <c r="K24" i="50"/>
  <c r="K22" i="50"/>
  <c r="K17" i="50"/>
  <c r="I38" i="50" s="1"/>
  <c r="K16" i="50"/>
  <c r="AE14" i="50"/>
  <c r="AE13" i="50"/>
  <c r="AE12" i="50"/>
  <c r="AF11" i="50"/>
  <c r="AH11" i="50" s="1"/>
  <c r="AI11" i="50" s="1"/>
  <c r="AE11" i="50"/>
  <c r="AH10" i="50"/>
  <c r="K9" i="50"/>
  <c r="F10" i="42"/>
  <c r="H10" i="42" s="1"/>
  <c r="G10" i="42"/>
  <c r="I10" i="42" s="1"/>
  <c r="F11" i="42"/>
  <c r="G11" i="42"/>
  <c r="I11" i="42" s="1"/>
  <c r="H11" i="42"/>
  <c r="F13" i="42"/>
  <c r="H13" i="42" s="1"/>
  <c r="G13" i="42"/>
  <c r="I13" i="42" s="1"/>
  <c r="F14" i="42"/>
  <c r="G14" i="42"/>
  <c r="H14" i="42"/>
  <c r="I14" i="42"/>
  <c r="F16" i="42"/>
  <c r="H16" i="42" s="1"/>
  <c r="G16" i="42"/>
  <c r="I16" i="42" s="1"/>
  <c r="F17" i="42"/>
  <c r="H17" i="42" s="1"/>
  <c r="G17" i="42"/>
  <c r="I17" i="42" s="1"/>
  <c r="F19" i="42"/>
  <c r="H19" i="42" s="1"/>
  <c r="G19" i="42"/>
  <c r="I19" i="42" s="1"/>
  <c r="F20" i="42"/>
  <c r="H20" i="42" s="1"/>
  <c r="G20" i="42"/>
  <c r="I20" i="42" s="1"/>
  <c r="M29" i="3"/>
  <c r="M28" i="3"/>
  <c r="I31" i="48"/>
  <c r="H29" i="3"/>
  <c r="I29" i="3"/>
  <c r="J29" i="3" s="1"/>
  <c r="L29" i="3" s="1"/>
  <c r="AI55" i="49"/>
  <c r="AH55" i="49"/>
  <c r="AG55" i="49"/>
  <c r="AH54" i="49"/>
  <c r="AG54" i="49"/>
  <c r="AH53" i="49"/>
  <c r="AI54" i="49" s="1"/>
  <c r="AG53" i="49"/>
  <c r="AH52" i="49"/>
  <c r="AI52" i="49" s="1"/>
  <c r="AG52" i="49"/>
  <c r="AH51" i="49"/>
  <c r="AI51" i="49" s="1"/>
  <c r="AG51" i="49"/>
  <c r="AI50" i="49"/>
  <c r="AH50" i="49"/>
  <c r="AG50" i="49"/>
  <c r="AH49" i="49"/>
  <c r="AI49" i="49" s="1"/>
  <c r="AG49" i="49"/>
  <c r="AI48" i="49"/>
  <c r="AH48" i="49"/>
  <c r="AG48" i="49"/>
  <c r="AI47" i="49"/>
  <c r="AH47" i="49"/>
  <c r="AG47" i="49"/>
  <c r="AH46" i="49"/>
  <c r="AG46" i="49"/>
  <c r="AH45" i="49"/>
  <c r="AI46" i="49" s="1"/>
  <c r="AG45" i="49"/>
  <c r="AH44" i="49"/>
  <c r="AI44" i="49" s="1"/>
  <c r="AG44" i="49"/>
  <c r="AH43" i="49"/>
  <c r="AI43" i="49" s="1"/>
  <c r="AG43" i="49"/>
  <c r="AI42" i="49"/>
  <c r="AH42" i="49"/>
  <c r="AG42" i="49"/>
  <c r="AH41" i="49"/>
  <c r="K24" i="49"/>
  <c r="K22" i="49"/>
  <c r="K17" i="49"/>
  <c r="D16" i="49" s="1"/>
  <c r="K16" i="49"/>
  <c r="AE14" i="49"/>
  <c r="AE13" i="49"/>
  <c r="AE12" i="49"/>
  <c r="AF11" i="49"/>
  <c r="AF12" i="49" s="1"/>
  <c r="AE11" i="49"/>
  <c r="AH10" i="49"/>
  <c r="K9" i="49"/>
  <c r="AI55" i="48"/>
  <c r="AH55" i="48"/>
  <c r="AG55" i="48"/>
  <c r="AH54" i="48"/>
  <c r="AI54" i="48" s="1"/>
  <c r="AG54" i="48"/>
  <c r="AH53" i="48"/>
  <c r="AI53" i="48" s="1"/>
  <c r="AG53" i="48"/>
  <c r="AI52" i="48"/>
  <c r="AH52" i="48"/>
  <c r="AG52" i="48"/>
  <c r="AH51" i="48"/>
  <c r="AG51" i="48"/>
  <c r="AH50" i="48"/>
  <c r="AI51" i="48" s="1"/>
  <c r="AG50" i="48"/>
  <c r="AH49" i="48"/>
  <c r="AI49" i="48" s="1"/>
  <c r="AG49" i="48"/>
  <c r="AH48" i="48"/>
  <c r="AI48" i="48" s="1"/>
  <c r="AG48" i="48"/>
  <c r="AI47" i="48"/>
  <c r="AH47" i="48"/>
  <c r="AG47" i="48"/>
  <c r="AH46" i="48"/>
  <c r="AI46" i="48" s="1"/>
  <c r="AG46" i="48"/>
  <c r="AH45" i="48"/>
  <c r="AI45" i="48" s="1"/>
  <c r="AG45" i="48"/>
  <c r="AI44" i="48"/>
  <c r="AH44" i="48"/>
  <c r="AG44" i="48"/>
  <c r="AH43" i="48"/>
  <c r="AG43" i="48"/>
  <c r="AH42" i="48"/>
  <c r="AI43" i="48" s="1"/>
  <c r="AG42" i="48"/>
  <c r="AH41" i="48"/>
  <c r="D37" i="48"/>
  <c r="E34" i="48"/>
  <c r="K24" i="48"/>
  <c r="F23" i="48"/>
  <c r="E23" i="48"/>
  <c r="K22" i="48"/>
  <c r="K17" i="48"/>
  <c r="D34" i="48" s="1"/>
  <c r="D17" i="48"/>
  <c r="C17" i="48"/>
  <c r="K16" i="48"/>
  <c r="AE14" i="48"/>
  <c r="AE13" i="48"/>
  <c r="AE12" i="48"/>
  <c r="C12" i="48"/>
  <c r="AF11" i="48"/>
  <c r="AH11" i="48" s="1"/>
  <c r="AI11" i="48" s="1"/>
  <c r="AE11" i="48"/>
  <c r="AH10" i="48"/>
  <c r="K9" i="48"/>
  <c r="C27" i="50" l="1"/>
  <c r="C16" i="50"/>
  <c r="C33" i="50"/>
  <c r="C38" i="50"/>
  <c r="F12" i="50"/>
  <c r="F17" i="50"/>
  <c r="E13" i="50"/>
  <c r="E20" i="50"/>
  <c r="E39" i="50"/>
  <c r="D22" i="50"/>
  <c r="D14" i="50"/>
  <c r="C30" i="50"/>
  <c r="C35" i="50"/>
  <c r="E22" i="50"/>
  <c r="F39" i="50"/>
  <c r="F13" i="50"/>
  <c r="E14" i="50"/>
  <c r="D16" i="50"/>
  <c r="F20" i="50"/>
  <c r="F22" i="50"/>
  <c r="D27" i="50"/>
  <c r="D30" i="50"/>
  <c r="D33" i="50"/>
  <c r="D35" i="50"/>
  <c r="D38" i="50"/>
  <c r="C40" i="50"/>
  <c r="F16" i="50"/>
  <c r="D18" i="50"/>
  <c r="D21" i="50"/>
  <c r="C23" i="50"/>
  <c r="F27" i="50"/>
  <c r="F30" i="50"/>
  <c r="F33" i="50"/>
  <c r="F35" i="50"/>
  <c r="F38" i="50"/>
  <c r="E40" i="50"/>
  <c r="AG11" i="50"/>
  <c r="E16" i="50"/>
  <c r="E27" i="50"/>
  <c r="E38" i="50"/>
  <c r="D10" i="50"/>
  <c r="E18" i="50"/>
  <c r="E21" i="50"/>
  <c r="D23" i="50"/>
  <c r="C29" i="50"/>
  <c r="C31" i="50"/>
  <c r="C34" i="50"/>
  <c r="C37" i="50"/>
  <c r="F40" i="50"/>
  <c r="AI46" i="50"/>
  <c r="AI54" i="50"/>
  <c r="AF12" i="50"/>
  <c r="E33" i="50"/>
  <c r="E10" i="50"/>
  <c r="C12" i="50"/>
  <c r="C17" i="50"/>
  <c r="F18" i="50"/>
  <c r="F21" i="50"/>
  <c r="E23" i="50"/>
  <c r="D29" i="50"/>
  <c r="D31" i="50"/>
  <c r="D34" i="50"/>
  <c r="D37" i="50"/>
  <c r="C39" i="50"/>
  <c r="F14" i="50"/>
  <c r="C10" i="50"/>
  <c r="F10" i="50"/>
  <c r="D12" i="50"/>
  <c r="C13" i="50"/>
  <c r="D17" i="50"/>
  <c r="C20" i="50"/>
  <c r="C22" i="50"/>
  <c r="F23" i="50"/>
  <c r="E29" i="50"/>
  <c r="E31" i="50"/>
  <c r="E34" i="50"/>
  <c r="E37" i="50"/>
  <c r="D39" i="50"/>
  <c r="C18" i="50"/>
  <c r="C21" i="50"/>
  <c r="E30" i="50"/>
  <c r="E35" i="50"/>
  <c r="D40" i="50"/>
  <c r="E12" i="50"/>
  <c r="D13" i="50"/>
  <c r="C14" i="50"/>
  <c r="E17" i="50"/>
  <c r="D20" i="50"/>
  <c r="F29" i="50"/>
  <c r="F31" i="50"/>
  <c r="F34" i="50"/>
  <c r="F37" i="50"/>
  <c r="I38" i="49"/>
  <c r="E17" i="49"/>
  <c r="E12" i="49"/>
  <c r="D12" i="48"/>
  <c r="E37" i="48"/>
  <c r="F18" i="48"/>
  <c r="D29" i="48"/>
  <c r="C13" i="48"/>
  <c r="E29" i="48"/>
  <c r="E39" i="48"/>
  <c r="F10" i="48"/>
  <c r="F21" i="48"/>
  <c r="D31" i="48"/>
  <c r="D23" i="48"/>
  <c r="D39" i="48"/>
  <c r="E10" i="48"/>
  <c r="C20" i="48"/>
  <c r="C22" i="48"/>
  <c r="E31" i="48"/>
  <c r="C39" i="48"/>
  <c r="D39" i="49"/>
  <c r="E39" i="49"/>
  <c r="D13" i="49"/>
  <c r="D38" i="49"/>
  <c r="F23" i="49"/>
  <c r="C14" i="49"/>
  <c r="AG12" i="49"/>
  <c r="AH12" i="49"/>
  <c r="AI12" i="49" s="1"/>
  <c r="AF13" i="49"/>
  <c r="F29" i="49"/>
  <c r="F34" i="49"/>
  <c r="F37" i="49"/>
  <c r="F39" i="49"/>
  <c r="F12" i="49"/>
  <c r="E13" i="49"/>
  <c r="D14" i="49"/>
  <c r="C16" i="49"/>
  <c r="F17" i="49"/>
  <c r="E20" i="49"/>
  <c r="E22" i="49"/>
  <c r="C27" i="49"/>
  <c r="C30" i="49"/>
  <c r="C33" i="49"/>
  <c r="C35" i="49"/>
  <c r="C38" i="49"/>
  <c r="C40" i="49"/>
  <c r="AI45" i="49"/>
  <c r="AI53" i="49"/>
  <c r="F14" i="49"/>
  <c r="E16" i="49"/>
  <c r="C18" i="49"/>
  <c r="C21" i="49"/>
  <c r="E27" i="49"/>
  <c r="E30" i="49"/>
  <c r="E33" i="49"/>
  <c r="E35" i="49"/>
  <c r="E38" i="49"/>
  <c r="E40" i="49"/>
  <c r="F16" i="49"/>
  <c r="D18" i="49"/>
  <c r="D21" i="49"/>
  <c r="C23" i="49"/>
  <c r="F27" i="49"/>
  <c r="F30" i="49"/>
  <c r="F33" i="49"/>
  <c r="F35" i="49"/>
  <c r="F38" i="49"/>
  <c r="F40" i="49"/>
  <c r="D20" i="49"/>
  <c r="D22" i="49"/>
  <c r="F31" i="49"/>
  <c r="F13" i="49"/>
  <c r="E14" i="49"/>
  <c r="F20" i="49"/>
  <c r="F22" i="49"/>
  <c r="D30" i="49"/>
  <c r="D35" i="49"/>
  <c r="AG11" i="49"/>
  <c r="C10" i="49"/>
  <c r="AH11" i="49"/>
  <c r="AI11" i="49" s="1"/>
  <c r="D10" i="49"/>
  <c r="E18" i="49"/>
  <c r="E21" i="49"/>
  <c r="D23" i="49"/>
  <c r="C29" i="49"/>
  <c r="C31" i="49"/>
  <c r="C34" i="49"/>
  <c r="C37" i="49"/>
  <c r="C39" i="49"/>
  <c r="D27" i="49"/>
  <c r="D33" i="49"/>
  <c r="D40" i="49"/>
  <c r="E10" i="49"/>
  <c r="C12" i="49"/>
  <c r="C17" i="49"/>
  <c r="F18" i="49"/>
  <c r="F21" i="49"/>
  <c r="E23" i="49"/>
  <c r="D29" i="49"/>
  <c r="D31" i="49"/>
  <c r="D34" i="49"/>
  <c r="D37" i="49"/>
  <c r="F10" i="49"/>
  <c r="D12" i="49"/>
  <c r="C13" i="49"/>
  <c r="D17" i="49"/>
  <c r="C20" i="49"/>
  <c r="C22" i="49"/>
  <c r="E29" i="49"/>
  <c r="E31" i="49"/>
  <c r="E34" i="49"/>
  <c r="E37" i="49"/>
  <c r="E12" i="48"/>
  <c r="D13" i="48"/>
  <c r="C14" i="48"/>
  <c r="E17" i="48"/>
  <c r="D20" i="48"/>
  <c r="D22" i="48"/>
  <c r="F29" i="48"/>
  <c r="F31" i="48"/>
  <c r="F34" i="48"/>
  <c r="F37" i="48"/>
  <c r="F39" i="48"/>
  <c r="AI42" i="48"/>
  <c r="AI50" i="48"/>
  <c r="F12" i="48"/>
  <c r="E13" i="48"/>
  <c r="D14" i="48"/>
  <c r="C16" i="48"/>
  <c r="F17" i="48"/>
  <c r="E20" i="48"/>
  <c r="E22" i="48"/>
  <c r="C27" i="48"/>
  <c r="C30" i="48"/>
  <c r="C33" i="48"/>
  <c r="C35" i="48"/>
  <c r="C38" i="48"/>
  <c r="C40" i="48"/>
  <c r="F13" i="48"/>
  <c r="E14" i="48"/>
  <c r="D16" i="48"/>
  <c r="F20" i="48"/>
  <c r="F22" i="48"/>
  <c r="D27" i="48"/>
  <c r="D30" i="48"/>
  <c r="D33" i="48"/>
  <c r="D35" i="48"/>
  <c r="D38" i="48"/>
  <c r="D40" i="48"/>
  <c r="F14" i="48"/>
  <c r="E16" i="48"/>
  <c r="C18" i="48"/>
  <c r="C21" i="48"/>
  <c r="E27" i="48"/>
  <c r="E30" i="48"/>
  <c r="E33" i="48"/>
  <c r="E35" i="48"/>
  <c r="E38" i="48"/>
  <c r="E40" i="48"/>
  <c r="F16" i="48"/>
  <c r="D18" i="48"/>
  <c r="D21" i="48"/>
  <c r="C23" i="48"/>
  <c r="F27" i="48"/>
  <c r="F30" i="48"/>
  <c r="F33" i="48"/>
  <c r="F35" i="48"/>
  <c r="F38" i="48"/>
  <c r="F40" i="48"/>
  <c r="AG11" i="48"/>
  <c r="AF12" i="48"/>
  <c r="C10" i="48"/>
  <c r="D10" i="48"/>
  <c r="E18" i="48"/>
  <c r="E21" i="48"/>
  <c r="C29" i="48"/>
  <c r="C31" i="48"/>
  <c r="C34" i="48"/>
  <c r="C37" i="48"/>
  <c r="AG12" i="50" l="1"/>
  <c r="AH12" i="50"/>
  <c r="AI12" i="50" s="1"/>
  <c r="AF13" i="50"/>
  <c r="AH13" i="49"/>
  <c r="AI13" i="49" s="1"/>
  <c r="AF14" i="49"/>
  <c r="AG13" i="49"/>
  <c r="AH12" i="48"/>
  <c r="AI12" i="48" s="1"/>
  <c r="AF13" i="48"/>
  <c r="AG12" i="48"/>
  <c r="AH13" i="50" l="1"/>
  <c r="AI13" i="50" s="1"/>
  <c r="AF14" i="50"/>
  <c r="AG13" i="50"/>
  <c r="AH14" i="49"/>
  <c r="AI14" i="49" s="1"/>
  <c r="AG14" i="49"/>
  <c r="AH13" i="48"/>
  <c r="AI13" i="48" s="1"/>
  <c r="AF14" i="48"/>
  <c r="AG13" i="48"/>
  <c r="AH14" i="50" l="1"/>
  <c r="AI14" i="50" s="1"/>
  <c r="AG14" i="50"/>
  <c r="AG14" i="48"/>
  <c r="AH14" i="48"/>
  <c r="AI14" i="48" s="1"/>
  <c r="AF6" i="42" l="1"/>
  <c r="AF4" i="42"/>
  <c r="D36" i="12" l="1"/>
  <c r="D37" i="12"/>
  <c r="D38" i="12"/>
  <c r="D39" i="12"/>
  <c r="D40" i="12"/>
  <c r="D41" i="12"/>
  <c r="D35" i="12"/>
  <c r="C36" i="12"/>
  <c r="C37" i="12"/>
  <c r="C38" i="12"/>
  <c r="C39" i="12"/>
  <c r="C40" i="12"/>
  <c r="C41" i="12"/>
  <c r="C35" i="12"/>
  <c r="AH55" i="47"/>
  <c r="AI55" i="47" s="1"/>
  <c r="AG55" i="47"/>
  <c r="AH54" i="47"/>
  <c r="AI54" i="47" s="1"/>
  <c r="AG54" i="47"/>
  <c r="AI53" i="47"/>
  <c r="AH53" i="47"/>
  <c r="AG53" i="47"/>
  <c r="AH52" i="47"/>
  <c r="AG52" i="47"/>
  <c r="AH51" i="47"/>
  <c r="AI52" i="47" s="1"/>
  <c r="AG51" i="47"/>
  <c r="AI50" i="47"/>
  <c r="AH50" i="47"/>
  <c r="AG50" i="47"/>
  <c r="AH49" i="47"/>
  <c r="AG49" i="47"/>
  <c r="AH48" i="47"/>
  <c r="AI48" i="47" s="1"/>
  <c r="AG48" i="47"/>
  <c r="AH47" i="47"/>
  <c r="AI47" i="47" s="1"/>
  <c r="AG47" i="47"/>
  <c r="AH46" i="47"/>
  <c r="AI46" i="47" s="1"/>
  <c r="AG46" i="47"/>
  <c r="AH45" i="47"/>
  <c r="AI45" i="47" s="1"/>
  <c r="AG45" i="47"/>
  <c r="AH44" i="47"/>
  <c r="AG44" i="47"/>
  <c r="AH43" i="47"/>
  <c r="AI44" i="47" s="1"/>
  <c r="AG43" i="47"/>
  <c r="AI42" i="47"/>
  <c r="AH42" i="47"/>
  <c r="AG42" i="47"/>
  <c r="AH41" i="47"/>
  <c r="K24" i="47"/>
  <c r="K22" i="47"/>
  <c r="K17" i="47"/>
  <c r="K16" i="47"/>
  <c r="AE14" i="47"/>
  <c r="AE13" i="47"/>
  <c r="AE12" i="47"/>
  <c r="AF11" i="47"/>
  <c r="AF12" i="47" s="1"/>
  <c r="AE11" i="47"/>
  <c r="AH10" i="47"/>
  <c r="K9" i="47"/>
  <c r="H8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C14" i="47" l="1"/>
  <c r="E17" i="47"/>
  <c r="E12" i="47"/>
  <c r="F22" i="47"/>
  <c r="D20" i="47"/>
  <c r="D13" i="47"/>
  <c r="D22" i="47"/>
  <c r="E39" i="47"/>
  <c r="F23" i="47"/>
  <c r="D39" i="47"/>
  <c r="AH12" i="47"/>
  <c r="AF13" i="47"/>
  <c r="AG12" i="47"/>
  <c r="F29" i="47"/>
  <c r="F31" i="47"/>
  <c r="F34" i="47"/>
  <c r="F37" i="47"/>
  <c r="F39" i="47"/>
  <c r="F16" i="47"/>
  <c r="D18" i="47"/>
  <c r="D21" i="47"/>
  <c r="C23" i="47"/>
  <c r="F27" i="47"/>
  <c r="F30" i="47"/>
  <c r="F33" i="47"/>
  <c r="F35" i="47"/>
  <c r="F38" i="47"/>
  <c r="F40" i="47"/>
  <c r="F14" i="47"/>
  <c r="E16" i="47"/>
  <c r="C18" i="47"/>
  <c r="C21" i="47"/>
  <c r="E27" i="47"/>
  <c r="E30" i="47"/>
  <c r="E33" i="47"/>
  <c r="E35" i="47"/>
  <c r="E38" i="47"/>
  <c r="E40" i="47"/>
  <c r="AI43" i="47"/>
  <c r="AI51" i="47"/>
  <c r="C10" i="47"/>
  <c r="AH11" i="47"/>
  <c r="AI11" i="47" s="1"/>
  <c r="D10" i="47"/>
  <c r="E18" i="47"/>
  <c r="E21" i="47"/>
  <c r="D23" i="47"/>
  <c r="C29" i="47"/>
  <c r="C31" i="47"/>
  <c r="C34" i="47"/>
  <c r="C37" i="47"/>
  <c r="C39" i="47"/>
  <c r="AI49" i="47"/>
  <c r="F12" i="47"/>
  <c r="E13" i="47"/>
  <c r="D14" i="47"/>
  <c r="C16" i="47"/>
  <c r="F17" i="47"/>
  <c r="E20" i="47"/>
  <c r="E22" i="47"/>
  <c r="C27" i="47"/>
  <c r="C30" i="47"/>
  <c r="C33" i="47"/>
  <c r="C35" i="47"/>
  <c r="C38" i="47"/>
  <c r="C40" i="47"/>
  <c r="F13" i="47"/>
  <c r="E14" i="47"/>
  <c r="D16" i="47"/>
  <c r="F20" i="47"/>
  <c r="D27" i="47"/>
  <c r="D30" i="47"/>
  <c r="D33" i="47"/>
  <c r="D35" i="47"/>
  <c r="D38" i="47"/>
  <c r="D40" i="47"/>
  <c r="AG11" i="47"/>
  <c r="E10" i="47"/>
  <c r="C12" i="47"/>
  <c r="C17" i="47"/>
  <c r="F18" i="47"/>
  <c r="F21" i="47"/>
  <c r="E23" i="47"/>
  <c r="D29" i="47"/>
  <c r="D31" i="47"/>
  <c r="D34" i="47"/>
  <c r="D37" i="47"/>
  <c r="F10" i="47"/>
  <c r="D12" i="47"/>
  <c r="C13" i="47"/>
  <c r="D17" i="47"/>
  <c r="C20" i="47"/>
  <c r="C22" i="47"/>
  <c r="E29" i="47"/>
  <c r="E31" i="47"/>
  <c r="E34" i="47"/>
  <c r="E37" i="47"/>
  <c r="D38" i="46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H13" i="47" l="1"/>
  <c r="AI13" i="47" s="1"/>
  <c r="AF14" i="47"/>
  <c r="AG13" i="47"/>
  <c r="AI12" i="47"/>
  <c r="AF13" i="46"/>
  <c r="AG12" i="46"/>
  <c r="AH12" i="46"/>
  <c r="AI12" i="46" s="1"/>
  <c r="AH14" i="47" l="1"/>
  <c r="AI14" i="47" s="1"/>
  <c r="AG14" i="47"/>
  <c r="AH13" i="46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AC29" i="42" l="1"/>
  <c r="Q29" i="42"/>
  <c r="P29" i="42"/>
  <c r="AE28" i="42"/>
  <c r="AD28" i="42"/>
  <c r="AC28" i="42"/>
  <c r="Q28" i="42"/>
  <c r="P28" i="42"/>
  <c r="AC26" i="42"/>
  <c r="Q26" i="42"/>
  <c r="P26" i="42"/>
  <c r="AE25" i="42"/>
  <c r="AD25" i="42"/>
  <c r="AC25" i="42"/>
  <c r="Q25" i="42"/>
  <c r="P25" i="42"/>
  <c r="AC23" i="42"/>
  <c r="Q23" i="42"/>
  <c r="P23" i="42"/>
  <c r="AE22" i="42"/>
  <c r="AD22" i="42"/>
  <c r="AC22" i="42"/>
  <c r="Q22" i="42"/>
  <c r="P22" i="42"/>
  <c r="AC20" i="42"/>
  <c r="Q20" i="42"/>
  <c r="P20" i="42"/>
  <c r="AE19" i="42"/>
  <c r="AD19" i="42"/>
  <c r="AC19" i="42"/>
  <c r="Q19" i="42"/>
  <c r="P19" i="42"/>
  <c r="AC17" i="42"/>
  <c r="Q17" i="42"/>
  <c r="P17" i="42"/>
  <c r="AE16" i="42"/>
  <c r="AD16" i="42"/>
  <c r="AC16" i="42"/>
  <c r="Q16" i="42"/>
  <c r="P16" i="42"/>
  <c r="AC14" i="42"/>
  <c r="Q14" i="42"/>
  <c r="P14" i="42"/>
  <c r="AE13" i="42"/>
  <c r="AD13" i="42"/>
  <c r="Q13" i="42"/>
  <c r="P13" i="42"/>
  <c r="AC11" i="42"/>
  <c r="Q11" i="42"/>
  <c r="P11" i="42"/>
  <c r="AE10" i="42"/>
  <c r="AD10" i="42"/>
  <c r="AC10" i="42"/>
  <c r="Q10" i="42"/>
  <c r="P10" i="42"/>
  <c r="E5" i="42"/>
  <c r="E3" i="42"/>
  <c r="F26" i="42" l="1"/>
  <c r="H26" i="42" s="1"/>
  <c r="G28" i="42"/>
  <c r="I28" i="42" s="1"/>
  <c r="G25" i="42"/>
  <c r="I25" i="42" s="1"/>
  <c r="F28" i="42"/>
  <c r="H28" i="42" s="1"/>
  <c r="F22" i="42"/>
  <c r="H22" i="42" s="1"/>
  <c r="G22" i="42"/>
  <c r="I22" i="42" s="1"/>
  <c r="F25" i="42"/>
  <c r="H25" i="42" s="1"/>
  <c r="G26" i="42"/>
  <c r="I26" i="42" s="1"/>
  <c r="F29" i="42"/>
  <c r="H29" i="42" s="1"/>
  <c r="G29" i="42"/>
  <c r="I29" i="42" s="1"/>
  <c r="F23" i="42"/>
  <c r="H23" i="42" s="1"/>
  <c r="G23" i="42"/>
  <c r="I23" i="42" s="1"/>
  <c r="X46" i="26"/>
  <c r="W46" i="26"/>
  <c r="X43" i="26"/>
  <c r="W43" i="26"/>
  <c r="L35" i="40"/>
  <c r="L34" i="40"/>
  <c r="M33" i="40"/>
  <c r="L33" i="40"/>
  <c r="M32" i="40"/>
  <c r="L32" i="40"/>
  <c r="O16" i="2" l="1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L35" i="34" l="1"/>
  <c r="L34" i="34"/>
  <c r="M33" i="34"/>
  <c r="L33" i="34"/>
  <c r="M32" i="34"/>
  <c r="L32" i="34"/>
  <c r="O16" i="33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X40" i="26"/>
  <c r="W40" i="26"/>
  <c r="X37" i="26"/>
  <c r="W37" i="26"/>
  <c r="X34" i="26"/>
  <c r="W34" i="26"/>
  <c r="X31" i="26"/>
  <c r="W31" i="26"/>
  <c r="Q17" i="33" l="1"/>
  <c r="N21" i="33"/>
  <c r="H15" i="33"/>
  <c r="H24" i="33" s="1"/>
  <c r="O21" i="33"/>
  <c r="H16" i="33"/>
  <c r="H25" i="33" s="1"/>
  <c r="H28" i="33" s="1"/>
  <c r="H30" i="33" s="1"/>
  <c r="H32" i="33" s="1"/>
  <c r="U20" i="26"/>
  <c r="T20" i="26"/>
  <c r="U19" i="26"/>
  <c r="T19" i="26"/>
  <c r="X28" i="26"/>
  <c r="AD13" i="26"/>
  <c r="AD12" i="26"/>
  <c r="W28" i="26"/>
  <c r="X22" i="26"/>
  <c r="W22" i="26"/>
  <c r="X16" i="26"/>
  <c r="W16" i="26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AD14" i="26"/>
  <c r="W19" i="26"/>
  <c r="X19" i="26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X13" i="26"/>
  <c r="W13" i="26"/>
  <c r="AH43" i="20"/>
  <c r="M33" i="1"/>
  <c r="M32" i="1"/>
  <c r="L33" i="1"/>
  <c r="L32" i="1"/>
  <c r="L34" i="1"/>
  <c r="C32" i="1"/>
  <c r="L35" i="1"/>
  <c r="C33" i="1"/>
  <c r="F35" i="1"/>
  <c r="H23" i="31" l="1"/>
  <c r="H21" i="31"/>
  <c r="W10" i="26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X10" i="26"/>
  <c r="E5" i="26"/>
  <c r="E3" i="26"/>
  <c r="F44" i="26" l="1"/>
  <c r="F47" i="26"/>
  <c r="G44" i="26"/>
  <c r="G47" i="26"/>
  <c r="F40" i="26"/>
  <c r="F46" i="26"/>
  <c r="G46" i="26"/>
  <c r="G43" i="26"/>
  <c r="F43" i="26"/>
  <c r="F34" i="26"/>
  <c r="G31" i="26"/>
  <c r="F31" i="26"/>
  <c r="G34" i="26"/>
  <c r="G37" i="26"/>
  <c r="F37" i="26"/>
  <c r="G40" i="26"/>
  <c r="G41" i="26"/>
  <c r="F41" i="26"/>
  <c r="G32" i="26"/>
  <c r="F32" i="26"/>
  <c r="G35" i="26"/>
  <c r="F35" i="26"/>
  <c r="G38" i="26"/>
  <c r="F38" i="26"/>
  <c r="F23" i="26"/>
  <c r="F29" i="26"/>
  <c r="G23" i="26"/>
  <c r="G29" i="26"/>
  <c r="F28" i="26"/>
  <c r="G22" i="26"/>
  <c r="F22" i="26"/>
  <c r="G28" i="26"/>
  <c r="G17" i="26"/>
  <c r="F17" i="26"/>
  <c r="G16" i="26"/>
  <c r="F16" i="26"/>
  <c r="F13" i="26"/>
  <c r="G13" i="26"/>
  <c r="F14" i="26"/>
  <c r="G14" i="26"/>
  <c r="K27" i="2"/>
  <c r="H30" i="2"/>
  <c r="H32" i="2" s="1"/>
  <c r="N25" i="2"/>
  <c r="N23" i="2"/>
  <c r="G10" i="26"/>
  <c r="F10" i="26"/>
  <c r="F11" i="26"/>
  <c r="G11" i="26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2" i="3"/>
  <c r="H31" i="3"/>
  <c r="H30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I8" i="3" s="1"/>
  <c r="J8" i="3" s="1"/>
  <c r="L8" i="3" s="1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6" i="3" l="1"/>
  <c r="I9" i="3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2" i="3"/>
  <c r="J32" i="3" s="1"/>
  <c r="L32" i="3" s="1"/>
  <c r="I23" i="3"/>
  <c r="J23" i="3" s="1"/>
  <c r="L23" i="3" s="1"/>
  <c r="I31" i="3"/>
  <c r="J31" i="3" s="1"/>
  <c r="L31" i="3" s="1"/>
  <c r="I22" i="3"/>
  <c r="I17" i="3"/>
  <c r="J17" i="3" s="1"/>
  <c r="L17" i="3" s="1"/>
  <c r="I30" i="3"/>
  <c r="J30" i="3" s="1"/>
  <c r="L30" i="3" s="1"/>
  <c r="D54" i="15"/>
  <c r="G54" i="15" s="1"/>
  <c r="C51" i="15"/>
  <c r="J9" i="3" l="1"/>
  <c r="M9" i="3" s="1"/>
  <c r="L27" i="3"/>
  <c r="M26" i="3"/>
  <c r="J22" i="3"/>
  <c r="L22" i="3" s="1"/>
  <c r="J19" i="3"/>
  <c r="L19" i="3" s="1"/>
  <c r="Q17" i="2"/>
  <c r="L9" i="3" l="1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tc={C8B858D3-C113-4E97-AA3A-D7396E2D7EB3}</author>
  </authors>
  <commentList>
    <comment ref="F19" authorId="0" shapeId="0" xr:uid="{C8B858D3-C113-4E97-AA3A-D7396E2D7EB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RH values of last run Day2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<sst xmlns="http://schemas.openxmlformats.org/spreadsheetml/2006/main" count="2681" uniqueCount="849">
  <si>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</si>
  <si>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</si>
  <si>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</si>
  <si>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</si>
  <si>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</si>
  <si>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</si>
  <si>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</si>
  <si>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</si>
  <si>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</si>
  <si>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</si>
  <si>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</si>
  <si>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</si>
  <si>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</si>
  <si>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</si>
  <si>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</si>
  <si>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</si>
  <si>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</si>
  <si>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</si>
  <si>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</si>
  <si>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</si>
  <si>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</si>
  <si>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</si>
  <si>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</si>
  <si>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</si>
  <si>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</si>
  <si>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</si>
  <si>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</si>
  <si>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</si>
  <si>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</si>
  <si>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</si>
  <si>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</si>
  <si>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</si>
  <si>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</si>
  <si>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</si>
  <si>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</si>
  <si>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</si>
  <si>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</si>
  <si>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</si>
  <si>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</si>
  <si>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</si>
  <si>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</si>
  <si>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</si>
  <si>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</si>
  <si>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</si>
  <si>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</si>
  <si>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</si>
  <si>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</si>
  <si>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</si>
  <si>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</si>
  <si>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</si>
  <si>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</si>
  <si>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</si>
  <si>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</si>
  <si>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</si>
  <si>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</si>
  <si>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</si>
  <si>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</si>
  <si>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</si>
  <si>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</si>
  <si>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</si>
  <si>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</si>
  <si>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</si>
  <si>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</si>
  <si>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</si>
  <si>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</si>
  <si>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</si>
  <si>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</si>
  <si>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</si>
  <si>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</si>
  <si>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</si>
  <si>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</si>
  <si>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</si>
  <si>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</si>
  <si>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</si>
  <si>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</si>
  <si>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</si>
  <si>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</si>
  <si>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</si>
  <si>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</si>
  <si>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</si>
  <si>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</si>
  <si>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</si>
  <si>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</si>
  <si>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</si>
  <si>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</si>
  <si>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</si>
  <si>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</si>
  <si>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</si>
  <si>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</si>
  <si>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</si>
  <si>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</si>
  <si>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</si>
  <si>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</si>
  <si>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</si>
  <si>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</si>
  <si>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</si>
  <si>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</si>
  <si>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</si>
  <si>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</si>
  <si>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</si>
  <si>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</si>
  <si>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</si>
  <si>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</si>
  <si>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</si>
  <si>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</si>
  <si>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</si>
  <si>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</si>
  <si>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</si>
  <si>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</si>
  <si>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</si>
  <si>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</si>
  <si>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</si>
  <si>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</si>
  <si>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</si>
  <si>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</si>
  <si>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</si>
  <si>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</si>
  <si>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</si>
  <si>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</si>
  <si>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</si>
  <si>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</si>
  <si>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</si>
  <si>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</si>
  <si>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</si>
  <si>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</si>
  <si>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</si>
  <si>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</si>
  <si>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</si>
  <si>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</si>
  <si>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</si>
  <si>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</si>
  <si>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</si>
  <si>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</si>
  <si>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</si>
  <si>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</si>
  <si>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</si>
  <si>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</si>
  <si>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</si>
  <si>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</si>
  <si>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</si>
  <si>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</si>
  <si>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</si>
  <si>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</si>
  <si>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</si>
  <si>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</si>
  <si>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</si>
  <si>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</si>
  <si>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</si>
  <si>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</si>
  <si>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</si>
  <si>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</si>
  <si>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</si>
  <si>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</si>
  <si>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</si>
  <si>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</si>
  <si>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</si>
  <si>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</si>
  <si>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</si>
  <si>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</si>
  <si>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</si>
  <si>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</si>
  <si>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</si>
  <si>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</si>
  <si>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</si>
  <si>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</si>
  <si>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</si>
  <si>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</si>
  <si>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</si>
  <si>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</si>
  <si>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</si>
  <si>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</si>
  <si>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</si>
  <si>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</si>
  <si>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</si>
  <si>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</si>
  <si>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</si>
  <si>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</si>
  <si>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</si>
  <si>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</si>
  <si>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</si>
  <si>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</si>
  <si>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</si>
  <si>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</si>
  <si>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</si>
  <si>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</si>
  <si>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</si>
  <si>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</si>
  <si>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</si>
  <si>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</si>
  <si>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</si>
  <si>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</si>
  <si>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</si>
  <si>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</si>
  <si>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</si>
  <si>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</si>
  <si>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</si>
  <si>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</si>
  <si>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</si>
  <si>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</si>
  <si>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</si>
  <si>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</si>
  <si>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</si>
  <si>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</si>
  <si>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</si>
  <si>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</si>
  <si>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</si>
  <si>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</si>
  <si>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</si>
  <si>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</si>
  <si>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</si>
  <si>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</si>
  <si>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</si>
  <si>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</si>
  <si>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</si>
  <si>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</si>
  <si>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</si>
  <si>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</si>
  <si>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</si>
  <si>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</si>
  <si>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</si>
  <si>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</si>
  <si>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</si>
  <si>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</si>
  <si>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</si>
  <si>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</si>
  <si>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</si>
  <si>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</si>
  <si>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</si>
  <si>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</si>
  <si>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</si>
  <si>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</si>
  <si>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</si>
  <si>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</si>
  <si>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</si>
  <si>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</si>
  <si>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</si>
  <si>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</si>
  <si>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</si>
  <si>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</si>
  <si>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</si>
  <si>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</si>
  <si>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</si>
  <si>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</si>
  <si>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</si>
  <si>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</si>
  <si>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</si>
  <si>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</si>
  <si>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</si>
  <si>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</si>
  <si>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</si>
  <si>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</si>
  <si>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</si>
  <si>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</si>
  <si>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</si>
  <si>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</si>
  <si>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</si>
  <si>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</si>
  <si>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</si>
  <si>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</si>
  <si>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</si>
  <si>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</si>
  <si>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</si>
  <si>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</si>
  <si>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</si>
  <si>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</si>
  <si>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</si>
  <si>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</si>
  <si>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</si>
  <si>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</si>
  <si>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</si>
  <si>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</si>
  <si>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</si>
  <si>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</si>
  <si>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</si>
  <si>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</si>
  <si>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</si>
  <si>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</si>
  <si>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</si>
  <si>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</si>
  <si>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</si>
  <si>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</si>
  <si>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</si>
  <si>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</si>
  <si>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</si>
  <si>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</si>
  <si>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</si>
  <si>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</si>
  <si>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</si>
  <si>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</si>
  <si>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</si>
  <si>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</si>
  <si>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</si>
  <si>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</si>
  <si>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</si>
  <si>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</si>
  <si>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</si>
  <si>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</si>
  <si>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</si>
  <si>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</si>
  <si>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</si>
  <si>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</si>
  <si>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</si>
  <si>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</si>
  <si>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</si>
  <si>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</si>
  <si>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</si>
  <si>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</si>
  <si>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</si>
  <si>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</si>
  <si>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</si>
  <si>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</si>
  <si>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</si>
  <si>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</si>
  <si>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</si>
  <si>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</si>
  <si>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</si>
  <si>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</si>
  <si>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</si>
  <si>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</si>
  <si>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</si>
  <si>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</si>
  <si>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</si>
  <si>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</si>
  <si>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</si>
  <si>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</si>
  <si>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</si>
  <si>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</si>
  <si>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</si>
  <si>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</si>
  <si>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</si>
  <si>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</si>
  <si>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</si>
  <si>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</si>
  <si>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</si>
  <si>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</si>
  <si>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</si>
  <si>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</si>
  <si>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</si>
  <si>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</si>
  <si>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</si>
  <si>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</si>
  <si>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</si>
  <si>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</si>
  <si>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</si>
  <si>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</si>
  <si>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</si>
  <si>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</si>
  <si>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</si>
  <si>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</si>
  <si>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</si>
  <si>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</si>
  <si>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</si>
  <si>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</si>
  <si>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</si>
  <si>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</si>
  <si>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</si>
  <si>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</si>
  <si>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</si>
  <si>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</si>
  <si>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</si>
  <si>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</si>
  <si>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</si>
  <si>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</si>
  <si>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</si>
  <si>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</si>
  <si>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</si>
  <si>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</si>
  <si>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</si>
  <si>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</si>
  <si>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</si>
  <si>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</si>
  <si>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</si>
  <si>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</si>
  <si>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</si>
  <si>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</si>
  <si>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</si>
  <si>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</si>
  <si>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</si>
  <si>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</si>
  <si>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</si>
  <si>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</si>
  <si>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</si>
  <si>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</si>
  <si>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</si>
  <si>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</si>
  <si>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</si>
  <si>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</si>
  <si>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</si>
  <si>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</si>
  <si>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</si>
  <si>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</si>
  <si>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</si>
  <si>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</si>
  <si>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</si>
  <si>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</si>
  <si>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</si>
  <si>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</si>
  <si>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</si>
  <si>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</si>
  <si>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</si>
  <si>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</si>
  <si>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</si>
  <si>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</si>
  <si>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</si>
  <si>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</si>
  <si>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</si>
  <si>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</si>
  <si>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</si>
  <si>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</si>
  <si>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</si>
  <si>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</si>
  <si>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</si>
  <si>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</si>
  <si>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</si>
  <si>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</si>
  <si>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</si>
  <si>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</si>
  <si>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</si>
  <si>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</si>
  <si>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</si>
  <si>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</si>
  <si>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</si>
  <si>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</si>
  <si>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</si>
  <si>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</si>
  <si>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</si>
  <si>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</si>
  <si>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</si>
  <si>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</si>
  <si>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</si>
  <si>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</si>
  <si>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</si>
  <si>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</si>
  <si>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</si>
  <si>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</si>
  <si>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</si>
  <si>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</si>
  <si>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</si>
  <si>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</si>
  <si>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</si>
  <si>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</si>
  <si>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</si>
  <si>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</si>
  <si>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</si>
  <si>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</si>
  <si>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</si>
  <si>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</si>
  <si>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</si>
  <si>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</si>
  <si>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</si>
  <si>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</si>
  <si>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</si>
  <si>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</si>
  <si>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</si>
  <si>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</si>
  <si>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</si>
  <si>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</si>
  <si>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</si>
  <si>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</si>
  <si>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</si>
  <si>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</si>
  <si>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</si>
  <si>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</si>
  <si>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</si>
  <si>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</si>
  <si>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</si>
  <si>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</si>
  <si>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</si>
  <si>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</si>
  <si>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</si>
  <si>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</si>
  <si>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</si>
  <si>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</si>
  <si>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</si>
  <si>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</si>
  <si>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</si>
  <si>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</si>
  <si>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</si>
  <si>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</si>
  <si>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</si>
  <si>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</si>
  <si>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</si>
  <si>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</si>
  <si>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</si>
  <si>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</si>
  <si>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</si>
  <si>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</si>
  <si>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</si>
  <si>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</si>
  <si>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</si>
  <si>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</si>
  <si>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</si>
  <si>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</si>
  <si>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</si>
  <si>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</si>
  <si>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</si>
  <si>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</si>
  <si>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</si>
  <si>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</si>
  <si>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</si>
  <si>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</si>
  <si>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</si>
  <si>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</si>
  <si>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</si>
  <si>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</si>
  <si>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</si>
  <si>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</si>
  <si>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</si>
  <si>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</si>
  <si>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</si>
  <si>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</si>
  <si>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</si>
  <si>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</si>
  <si>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</si>
  <si>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</si>
  <si>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</si>
  <si>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</si>
  <si>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</si>
  <si>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</si>
  <si>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</si>
  <si>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</si>
  <si>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opened rear dampers</t>
  </si>
  <si>
    <t>Tot pack length 127.5 @ setup</t>
  </si>
  <si>
    <t>9Hz @ 44.5</t>
  </si>
  <si>
    <t>7Hz was at 41.8mm gap</t>
  </si>
  <si>
    <t>6Hz @ 40.1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</si>
  <si>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</si>
  <si>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</si>
  <si>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</si>
  <si>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</si>
  <si>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</si>
  <si>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</si>
  <si>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</si>
  <si>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</si>
  <si>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</si>
  <si>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</si>
  <si>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</si>
  <si>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</si>
  <si>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</si>
  <si>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</si>
  <si>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</si>
  <si>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</si>
  <si>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</si>
  <si>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</si>
  <si>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</si>
  <si>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</si>
  <si>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</si>
  <si>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</si>
  <si>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</si>
  <si>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</si>
  <si>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</si>
  <si>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</si>
  <si>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</si>
  <si>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</si>
  <si>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</si>
  <si>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</si>
  <si>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</si>
  <si>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</si>
  <si>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</si>
  <si>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</si>
  <si>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</si>
  <si>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</si>
  <si>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</si>
  <si>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</si>
  <si>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</si>
  <si>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</si>
  <si>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</si>
  <si>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</si>
  <si>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</si>
  <si>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</si>
  <si>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</si>
  <si>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</si>
  <si>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</si>
  <si>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</si>
  <si>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</si>
  <si>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</si>
  <si>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</si>
  <si>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</si>
  <si>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</si>
  <si>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</si>
  <si>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-2.2 max</t>
  </si>
  <si>
    <t>Set up (real)</t>
  </si>
  <si>
    <t>Toe shims</t>
  </si>
  <si>
    <t>With Alessio and ballast</t>
  </si>
  <si>
    <t>Set up (target)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</si>
  <si>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</si>
  <si>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</si>
  <si>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</si>
  <si>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</si>
  <si>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</si>
  <si>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</si>
  <si>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</si>
  <si>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</si>
  <si>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</si>
  <si>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</si>
  <si>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</si>
  <si>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</si>
  <si>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</si>
  <si>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</si>
  <si>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</si>
  <si>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</si>
  <si>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</si>
  <si>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</si>
  <si>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</si>
  <si>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</si>
  <si>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</si>
  <si>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</si>
  <si>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</si>
  <si>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</si>
  <si>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</si>
  <si>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</si>
  <si>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21T04</t>
  </si>
  <si>
    <t>21T05</t>
  </si>
  <si>
    <t>Camber shims</t>
  </si>
  <si>
    <t>Pre-Set up</t>
  </si>
  <si>
    <t>Set down Day1</t>
  </si>
  <si>
    <t>3rd Elements</t>
  </si>
  <si>
    <t>Check camber with inclinometer</t>
  </si>
  <si>
    <t>(13)</t>
  </si>
  <si>
    <t>(13.57)</t>
  </si>
  <si>
    <t>Shims sensitivity</t>
  </si>
  <si>
    <t>Toe [mm shim / mm toe]</t>
  </si>
  <si>
    <t>Pushrod [mm shim / mm RH]</t>
  </si>
  <si>
    <t>Camber [mm shim / deg camber]</t>
  </si>
  <si>
    <t>-2.1 (-1.5)</t>
  </si>
  <si>
    <t>-2.3 (-2.2)</t>
  </si>
  <si>
    <t>13.77+6.5</t>
  </si>
  <si>
    <t>13.51+6.47</t>
  </si>
  <si>
    <t>6Hz @ 26.9</t>
  </si>
  <si>
    <t>0.704 mm / (mm RH)</t>
  </si>
  <si>
    <t>0.44 mm / (mm RH)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</si>
  <si>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OPEN</t>
    </r>
  </si>
  <si>
    <r>
      <t xml:space="preserve">9Hz @ </t>
    </r>
    <r>
      <rPr>
        <sz val="11"/>
        <color rgb="FFFF0000"/>
        <rFont val="Calibri"/>
        <family val="2"/>
        <scheme val="minor"/>
      </rPr>
      <t>33.1</t>
    </r>
  </si>
  <si>
    <r>
      <t xml:space="preserve">9Hz @ </t>
    </r>
    <r>
      <rPr>
        <b/>
        <sz val="11"/>
        <rFont val="Calibri"/>
        <family val="2"/>
        <scheme val="minor"/>
      </rPr>
      <t>43.35</t>
    </r>
  </si>
  <si>
    <r>
      <t xml:space="preserve">6Hz @ </t>
    </r>
    <r>
      <rPr>
        <b/>
        <sz val="11"/>
        <color theme="1"/>
        <rFont val="Calibri"/>
        <family val="2"/>
        <scheme val="minor"/>
      </rPr>
      <t>24.4</t>
    </r>
  </si>
  <si>
    <t>NO DRIVER</t>
  </si>
  <si>
    <t>IN THE CAR</t>
  </si>
  <si>
    <t>SUM</t>
  </si>
  <si>
    <t>scales</t>
  </si>
  <si>
    <t>Total Weight</t>
  </si>
  <si>
    <t>Reference for SetDown day1</t>
  </si>
  <si>
    <t>Set down</t>
  </si>
  <si>
    <t>Weights from</t>
  </si>
  <si>
    <t>last data Day2</t>
  </si>
  <si>
    <t>Probably weight overestimated</t>
  </si>
  <si>
    <t>16 kg fuel inside the car</t>
  </si>
  <si>
    <t>Check during day 1 VAL21T05</t>
  </si>
  <si>
    <t>Set down lunch</t>
  </si>
  <si>
    <t>Day1 21T05</t>
  </si>
  <si>
    <t>Setup lunch</t>
  </si>
  <si>
    <r>
      <rPr>
        <b/>
        <sz val="11"/>
        <color theme="1"/>
        <rFont val="Calibri"/>
        <family val="2"/>
        <scheme val="minor"/>
      </rPr>
      <t>Setdown</t>
    </r>
    <r>
      <rPr>
        <sz val="11"/>
        <color theme="1"/>
        <rFont val="Calibri"/>
        <family val="2"/>
        <scheme val="minor"/>
      </rPr>
      <t xml:space="preserve"> </t>
    </r>
  </si>
  <si>
    <t>TOT</t>
  </si>
  <si>
    <t>Setup</t>
  </si>
  <si>
    <t>Day2 21T05</t>
  </si>
  <si>
    <t>13.82+6.5</t>
  </si>
  <si>
    <t>13.33+6.47</t>
  </si>
  <si>
    <t>14.78+6.5</t>
  </si>
  <si>
    <t>13.81+6.47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</si>
  <si>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TO CHECK</t>
    </r>
  </si>
  <si>
    <t>BoP power (kW)</t>
  </si>
  <si>
    <t>Type 3</t>
  </si>
  <si>
    <t>8 + solid</t>
  </si>
  <si>
    <t>7.85 + solid</t>
  </si>
  <si>
    <t>?</t>
  </si>
  <si>
    <t>007C #708</t>
  </si>
  <si>
    <t>G</t>
  </si>
  <si>
    <t>Blanking</t>
  </si>
  <si>
    <t>Brake paint</t>
  </si>
  <si>
    <t>DRIVER</t>
  </si>
  <si>
    <t>DATE</t>
  </si>
  <si>
    <t>PEDALBOX</t>
  </si>
  <si>
    <t>PARAMETER</t>
  </si>
  <si>
    <t>UNIT</t>
  </si>
  <si>
    <t>NOTES</t>
  </si>
  <si>
    <t>PEDALBOX POSITION</t>
  </si>
  <si>
    <t>holes from most fwd</t>
  </si>
  <si>
    <t>FWD BOLT</t>
  </si>
  <si>
    <t>EXTENSION OPTION</t>
  </si>
  <si>
    <t>TYPE 7</t>
  </si>
  <si>
    <t>option</t>
  </si>
  <si>
    <t>148.5mm</t>
  </si>
  <si>
    <t>FOOTREST POSITION</t>
  </si>
  <si>
    <t>HEELREST SHIM STACK</t>
  </si>
  <si>
    <t>BRAKE PEDAL PAD SHIM STACK</t>
  </si>
  <si>
    <t>BRAKE PEDAL PLAFTORM LATERAL POSITION</t>
  </si>
  <si>
    <t>mm from center</t>
  </si>
  <si>
    <t>LEFT HOLE</t>
  </si>
  <si>
    <t>FRONT MASTER CYLINDER</t>
  </si>
  <si>
    <t>REAR MASTER CYLINDER</t>
  </si>
  <si>
    <t>THROTTLE PEDAL PAD SHIMS THICKNESS</t>
  </si>
  <si>
    <t>THROTTLE PEDAL PLAFTORM LATERAL POSITION</t>
  </si>
  <si>
    <t>THROTTLE SPRING OPTION</t>
  </si>
  <si>
    <t>THROTTLE PACKER STACK</t>
  </si>
  <si>
    <t>STEERING WHEEL</t>
  </si>
  <si>
    <t>STEERING WHEEL SPACER STACK</t>
  </si>
  <si>
    <t>SEAT</t>
  </si>
  <si>
    <t>Seat main insert</t>
  </si>
  <si>
    <t>Seat specific insert</t>
  </si>
  <si>
    <t>SEAT-BELTS</t>
  </si>
  <si>
    <t>ROMAIN DUMAS</t>
  </si>
  <si>
    <t>Shoulder</t>
  </si>
  <si>
    <t>Left</t>
  </si>
  <si>
    <t>Crotch</t>
  </si>
  <si>
    <t>42 + 35</t>
  </si>
  <si>
    <t>0.66 inches</t>
  </si>
  <si>
    <t>0.75 inches</t>
  </si>
  <si>
    <t>hole from most top</t>
  </si>
  <si>
    <t>hole from most rearward</t>
  </si>
  <si>
    <t>COCKPIT INSTALLATION SHEET - #709</t>
  </si>
  <si>
    <t>Throttle pedal springs</t>
  </si>
  <si>
    <t>007C-090221A</t>
  </si>
  <si>
    <t>Part Number</t>
  </si>
  <si>
    <t>K [N/mm]</t>
  </si>
  <si>
    <t>007C-090373A</t>
  </si>
  <si>
    <t>007C-090375A</t>
  </si>
  <si>
    <t>007C-090377A</t>
  </si>
  <si>
    <t>007C-090379A</t>
  </si>
  <si>
    <t>007C-090381A</t>
  </si>
  <si>
    <t>007C-090383A</t>
  </si>
  <si>
    <t>007C-090385A</t>
  </si>
  <si>
    <t>Color</t>
  </si>
  <si>
    <t>WHITE</t>
  </si>
  <si>
    <t>VIOLET</t>
  </si>
  <si>
    <t>LIGHT BLUE</t>
  </si>
  <si>
    <t>BLUE</t>
  </si>
  <si>
    <t>GREEN</t>
  </si>
  <si>
    <t>YELLOW</t>
  </si>
  <si>
    <t>ORANGE</t>
  </si>
  <si>
    <t>RED</t>
  </si>
  <si>
    <t>Steering wheel spacers</t>
  </si>
  <si>
    <t>1.28*</t>
  </si>
  <si>
    <t>*Fit with 25x35x1mm shim between spring and perch</t>
  </si>
  <si>
    <t>007C-0300551A</t>
  </si>
  <si>
    <t>007C-0300705A</t>
  </si>
  <si>
    <t>007C-0300707A</t>
  </si>
  <si>
    <t>007C-0300709A</t>
  </si>
  <si>
    <t>007C-0300711A</t>
  </si>
  <si>
    <t>007C-0300549A</t>
  </si>
  <si>
    <t>007C-0300713A</t>
  </si>
  <si>
    <t>Seats</t>
  </si>
  <si>
    <t>Main</t>
  </si>
  <si>
    <t>Add-On</t>
  </si>
  <si>
    <t>Romain Dumas</t>
  </si>
  <si>
    <t>Rayan Briscoe</t>
  </si>
  <si>
    <t>Olivier Pla</t>
  </si>
  <si>
    <t>Gustavo Menezes</t>
  </si>
  <si>
    <t>Franck Mailleaux</t>
  </si>
  <si>
    <t>Pipo Derani</t>
  </si>
  <si>
    <t>Richard Westbrook</t>
  </si>
  <si>
    <t>Thickness [mm]</t>
  </si>
  <si>
    <t>1.28 N/mm + 1mm shim</t>
  </si>
  <si>
    <t>Bumpstop (droop gap)</t>
  </si>
  <si>
    <t>BoP ballast</t>
  </si>
  <si>
    <t>Pedalbox ballast</t>
  </si>
  <si>
    <t>Gearbox ballast</t>
  </si>
  <si>
    <t>P21-05</t>
  </si>
  <si>
    <t>007C #709</t>
  </si>
  <si>
    <t>1324 001</t>
  </si>
  <si>
    <t>2 - Short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</si>
  <si>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</si>
  <si>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</si>
  <si>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</si>
  <si>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</si>
  <si>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</si>
  <si>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</si>
  <si>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</si>
  <si>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</si>
  <si>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</si>
  <si>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Day1 21T06</t>
  </si>
  <si>
    <t>Setup ballast</t>
  </si>
  <si>
    <t>Setup wheel offset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</si>
  <si>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</si>
  <si>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</si>
  <si>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</si>
  <si>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</si>
  <si>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</si>
  <si>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</si>
  <si>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Tot</t>
  </si>
  <si>
    <t>100 Nm (XX bar air)</t>
  </si>
  <si>
    <t>Car 708</t>
  </si>
  <si>
    <t>0500.200.0949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</si>
  <si>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</si>
  <si>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</si>
  <si>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</si>
  <si>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</si>
  <si>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</si>
  <si>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</si>
  <si>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</si>
  <si>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</si>
  <si>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</si>
  <si>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</si>
  <si>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</si>
  <si>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</si>
  <si>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</si>
  <si>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</si>
  <si>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</si>
  <si>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</si>
  <si>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</si>
  <si>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</si>
  <si>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</si>
  <si>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</si>
  <si>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</si>
  <si>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</si>
  <si>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</si>
  <si>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</si>
  <si>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</si>
  <si>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</si>
  <si>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</si>
  <si>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</si>
  <si>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</si>
  <si>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</si>
  <si>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</si>
  <si>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</si>
  <si>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P21-02</t>
  </si>
  <si>
    <t>1324 002</t>
  </si>
  <si>
    <t>21R03: MONZA</t>
  </si>
  <si>
    <t>FP1 INITIAL SET-UP</t>
  </si>
  <si>
    <t>Canopy_Long</t>
  </si>
  <si>
    <t>Canopy_Short</t>
  </si>
  <si>
    <t>Test Day Initial Set-Up</t>
  </si>
  <si>
    <t>21R04: 24H Le Mans</t>
  </si>
  <si>
    <t>was -3</t>
  </si>
  <si>
    <t>was +1</t>
  </si>
  <si>
    <t>RH in Pitlane</t>
  </si>
  <si>
    <t>Pitlane off</t>
  </si>
  <si>
    <t>spr 950</t>
  </si>
  <si>
    <t>spr 1100</t>
  </si>
  <si>
    <t>P.rod spacers</t>
  </si>
  <si>
    <t>0600.200.1350</t>
  </si>
  <si>
    <t>Rear spring spacer 46.1 mm</t>
  </si>
  <si>
    <t>357+4.7</t>
  </si>
  <si>
    <t>708 Set down FP3</t>
  </si>
  <si>
    <t>613+2.77</t>
  </si>
  <si>
    <t>357+4.8</t>
  </si>
  <si>
    <t>708 Set up Hyperple</t>
  </si>
  <si>
    <t>708 set up FP4</t>
  </si>
  <si>
    <t>613+3.4</t>
  </si>
  <si>
    <t>357+6.1</t>
  </si>
  <si>
    <t>357+6</t>
  </si>
  <si>
    <t>708 set down FP4</t>
  </si>
  <si>
    <r>
      <rPr>
        <sz val="11"/>
        <color theme="1"/>
        <rFont val="Calibri"/>
        <family val="2"/>
        <scheme val="minor"/>
      </rPr>
      <t>613</t>
    </r>
    <r>
      <rPr>
        <sz val="11"/>
        <color rgb="FFFF0000"/>
        <rFont val="Calibri"/>
        <family val="2"/>
        <scheme val="minor"/>
      </rPr>
      <t>+3.7</t>
    </r>
  </si>
  <si>
    <r>
      <rPr>
        <sz val="11"/>
        <color theme="1"/>
        <rFont val="Calibri"/>
        <family val="2"/>
        <scheme val="minor"/>
      </rPr>
      <t>613</t>
    </r>
    <r>
      <rPr>
        <sz val="11"/>
        <color rgb="FFFF0000"/>
        <rFont val="Calibri"/>
        <family val="2"/>
        <scheme val="minor"/>
      </rPr>
      <t>+3.6</t>
    </r>
  </si>
  <si>
    <r>
      <rPr>
        <sz val="11"/>
        <color theme="1"/>
        <rFont val="Calibri"/>
        <family val="2"/>
        <scheme val="minor"/>
      </rPr>
      <t>357</t>
    </r>
    <r>
      <rPr>
        <sz val="11"/>
        <color rgb="FFFF0000"/>
        <rFont val="Calibri"/>
        <family val="2"/>
        <scheme val="minor"/>
      </rPr>
      <t>+6.6</t>
    </r>
  </si>
  <si>
    <t>708 set up Race</t>
  </si>
  <si>
    <t>66.5/88</t>
  </si>
  <si>
    <t>Target RH</t>
  </si>
  <si>
    <t>613+3.7</t>
  </si>
  <si>
    <t>613+3.6</t>
  </si>
  <si>
    <t>357+6.6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</si>
</sst>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i/>
      <sz val="11"/>
      <color theme="6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2"/>
      <color rgb="FFFF000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42" applyNumberFormat="0" applyFill="0" applyAlignment="0" applyProtection="0"/>
  </cellStyleXfs>
  <cellXfs count="1256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33" fillId="0" borderId="0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24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2" borderId="125" xfId="2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" xfId="2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2" fillId="2" borderId="127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0" borderId="65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44" borderId="40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0" fillId="0" borderId="70" xfId="0" quotePrefix="1" applyBorder="1" applyAlignment="1">
      <alignment horizont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0" fontId="0" fillId="0" borderId="11" xfId="0" applyBorder="1" applyAlignment="1"/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0" borderId="40" xfId="0" quotePrefix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0" fillId="44" borderId="19" xfId="0" applyFill="1" applyBorder="1" applyAlignment="1">
      <alignment horizontal="center"/>
    </xf>
    <xf numFmtId="0" fontId="33" fillId="43" borderId="138" xfId="0" applyFont="1" applyFill="1" applyBorder="1" applyAlignment="1"/>
    <xf numFmtId="0" fontId="0" fillId="0" borderId="13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98" xfId="0" quotePrefix="1" applyBorder="1" applyAlignment="1">
      <alignment horizontal="center"/>
    </xf>
    <xf numFmtId="0" fontId="0" fillId="0" borderId="66" xfId="0" quotePrefix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4" fillId="19" borderId="0" xfId="0" applyFont="1" applyFill="1" applyBorder="1" applyAlignment="1">
      <alignment horizontal="left"/>
    </xf>
    <xf numFmtId="0" fontId="0" fillId="19" borderId="0" xfId="0" applyFill="1" applyBorder="1" applyAlignment="1">
      <alignment horizontal="left"/>
    </xf>
    <xf numFmtId="0" fontId="4" fillId="2" borderId="126" xfId="2" applyFont="1" applyBorder="1" applyAlignment="1">
      <alignment horizontal="center"/>
    </xf>
    <xf numFmtId="0" fontId="4" fillId="2" borderId="1" xfId="2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6" fillId="0" borderId="130" xfId="0" applyFont="1" applyBorder="1" applyAlignment="1">
      <alignment horizontal="center"/>
    </xf>
    <xf numFmtId="0" fontId="18" fillId="0" borderId="77" xfId="0" applyFont="1" applyBorder="1"/>
    <xf numFmtId="0" fontId="18" fillId="0" borderId="139" xfId="0" applyFont="1" applyBorder="1"/>
    <xf numFmtId="0" fontId="18" fillId="0" borderId="131" xfId="0" applyFont="1" applyBorder="1"/>
    <xf numFmtId="0" fontId="54" fillId="0" borderId="0" xfId="0" applyFont="1"/>
    <xf numFmtId="2" fontId="15" fillId="0" borderId="98" xfId="0" applyNumberFormat="1" applyFont="1" applyBorder="1" applyAlignment="1">
      <alignment horizontal="center"/>
    </xf>
    <xf numFmtId="2" fontId="15" fillId="0" borderId="66" xfId="0" applyNumberFormat="1" applyFont="1" applyBorder="1" applyAlignment="1">
      <alignment horizontal="center"/>
    </xf>
    <xf numFmtId="2" fontId="15" fillId="0" borderId="40" xfId="0" applyNumberFormat="1" applyFont="1" applyBorder="1" applyAlignment="1">
      <alignment horizontal="center"/>
    </xf>
    <xf numFmtId="2" fontId="15" fillId="0" borderId="19" xfId="0" applyNumberFormat="1" applyFont="1" applyBorder="1" applyAlignment="1">
      <alignment horizontal="center"/>
    </xf>
    <xf numFmtId="0" fontId="56" fillId="0" borderId="11" xfId="0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5" fillId="0" borderId="124" xfId="0" applyFont="1" applyBorder="1" applyAlignment="1">
      <alignment horizontal="center"/>
    </xf>
    <xf numFmtId="0" fontId="55" fillId="0" borderId="98" xfId="0" applyFont="1" applyBorder="1" applyAlignment="1">
      <alignment horizontal="center"/>
    </xf>
    <xf numFmtId="0" fontId="55" fillId="0" borderId="39" xfId="0" applyFont="1" applyBorder="1" applyAlignment="1">
      <alignment horizontal="center"/>
    </xf>
    <xf numFmtId="0" fontId="55" fillId="0" borderId="40" xfId="0" applyFont="1" applyBorder="1" applyAlignment="1">
      <alignment horizontal="center"/>
    </xf>
    <xf numFmtId="0" fontId="57" fillId="0" borderId="98" xfId="0" applyFont="1" applyBorder="1" applyAlignment="1">
      <alignment horizontal="center"/>
    </xf>
    <xf numFmtId="0" fontId="57" fillId="0" borderId="66" xfId="0" applyFont="1" applyBorder="1" applyAlignment="1">
      <alignment horizontal="center"/>
    </xf>
    <xf numFmtId="0" fontId="57" fillId="0" borderId="65" xfId="0" applyFont="1" applyBorder="1" applyAlignment="1">
      <alignment horizontal="center"/>
    </xf>
    <xf numFmtId="0" fontId="57" fillId="0" borderId="98" xfId="0" quotePrefix="1" applyFont="1" applyBorder="1" applyAlignment="1">
      <alignment horizontal="center"/>
    </xf>
    <xf numFmtId="0" fontId="57" fillId="0" borderId="66" xfId="0" quotePrefix="1" applyFont="1" applyBorder="1" applyAlignment="1">
      <alignment horizontal="center"/>
    </xf>
    <xf numFmtId="0" fontId="57" fillId="0" borderId="40" xfId="0" applyFont="1" applyBorder="1" applyAlignment="1">
      <alignment horizontal="center"/>
    </xf>
    <xf numFmtId="0" fontId="57" fillId="0" borderId="19" xfId="0" applyFont="1" applyBorder="1" applyAlignment="1">
      <alignment horizontal="center"/>
    </xf>
    <xf numFmtId="0" fontId="57" fillId="0" borderId="70" xfId="0" quotePrefix="1" applyFont="1" applyBorder="1" applyAlignment="1">
      <alignment horizontal="center"/>
    </xf>
    <xf numFmtId="0" fontId="57" fillId="0" borderId="40" xfId="0" quotePrefix="1" applyFont="1" applyBorder="1" applyAlignment="1">
      <alignment horizontal="center"/>
    </xf>
    <xf numFmtId="0" fontId="57" fillId="0" borderId="70" xfId="0" applyFont="1" applyBorder="1" applyAlignment="1">
      <alignment horizontal="center"/>
    </xf>
    <xf numFmtId="2" fontId="56" fillId="0" borderId="98" xfId="0" applyNumberFormat="1" applyFont="1" applyBorder="1" applyAlignment="1">
      <alignment horizontal="center"/>
    </xf>
    <xf numFmtId="2" fontId="56" fillId="0" borderId="66" xfId="0" applyNumberFormat="1" applyFont="1" applyBorder="1" applyAlignment="1">
      <alignment horizontal="center"/>
    </xf>
    <xf numFmtId="2" fontId="56" fillId="0" borderId="40" xfId="0" applyNumberFormat="1" applyFont="1" applyBorder="1" applyAlignment="1">
      <alignment horizontal="center"/>
    </xf>
    <xf numFmtId="2" fontId="56" fillId="0" borderId="19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19" borderId="0" xfId="0" applyFont="1" applyFill="1" applyBorder="1" applyAlignment="1">
      <alignment horizontal="left"/>
    </xf>
    <xf numFmtId="0" fontId="6" fillId="19" borderId="0" xfId="0" applyFont="1" applyFill="1"/>
    <xf numFmtId="0" fontId="53" fillId="0" borderId="98" xfId="0" applyFont="1" applyBorder="1" applyAlignment="1">
      <alignment horizontal="center"/>
    </xf>
    <xf numFmtId="0" fontId="53" fillId="0" borderId="66" xfId="0" applyFont="1" applyBorder="1" applyAlignment="1">
      <alignment horizontal="center"/>
    </xf>
    <xf numFmtId="0" fontId="53" fillId="0" borderId="66" xfId="0" quotePrefix="1" applyFont="1" applyBorder="1" applyAlignment="1">
      <alignment horizontal="center"/>
    </xf>
    <xf numFmtId="0" fontId="56" fillId="0" borderId="19" xfId="0" applyFont="1" applyBorder="1" applyAlignment="1">
      <alignment horizontal="center"/>
    </xf>
    <xf numFmtId="0" fontId="53" fillId="0" borderId="19" xfId="0" applyFont="1" applyBorder="1" applyAlignment="1">
      <alignment horizontal="center"/>
    </xf>
    <xf numFmtId="0" fontId="56" fillId="0" borderId="40" xfId="0" applyFont="1" applyBorder="1" applyAlignment="1">
      <alignment horizontal="center"/>
    </xf>
    <xf numFmtId="0" fontId="53" fillId="0" borderId="40" xfId="0" applyFont="1" applyBorder="1" applyAlignment="1">
      <alignment horizontal="center"/>
    </xf>
    <xf numFmtId="0" fontId="53" fillId="0" borderId="98" xfId="0" quotePrefix="1" applyFont="1" applyBorder="1" applyAlignment="1">
      <alignment horizontal="center"/>
    </xf>
    <xf numFmtId="0" fontId="53" fillId="14" borderId="98" xfId="0" applyFont="1" applyFill="1" applyBorder="1" applyAlignment="1">
      <alignment horizontal="center"/>
    </xf>
    <xf numFmtId="0" fontId="53" fillId="14" borderId="66" xfId="0" applyFont="1" applyFill="1" applyBorder="1" applyAlignment="1">
      <alignment horizontal="center"/>
    </xf>
    <xf numFmtId="0" fontId="53" fillId="14" borderId="40" xfId="0" applyFont="1" applyFill="1" applyBorder="1" applyAlignment="1">
      <alignment horizontal="center"/>
    </xf>
    <xf numFmtId="0" fontId="53" fillId="14" borderId="19" xfId="0" applyFont="1" applyFill="1" applyBorder="1" applyAlignment="1">
      <alignment horizontal="center"/>
    </xf>
    <xf numFmtId="0" fontId="53" fillId="14" borderId="98" xfId="0" quotePrefix="1" applyFont="1" applyFill="1" applyBorder="1" applyAlignment="1">
      <alignment horizontal="center"/>
    </xf>
    <xf numFmtId="0" fontId="53" fillId="14" borderId="66" xfId="0" quotePrefix="1" applyFont="1" applyFill="1" applyBorder="1" applyAlignment="1">
      <alignment horizontal="center"/>
    </xf>
    <xf numFmtId="0" fontId="6" fillId="14" borderId="65" xfId="0" applyFont="1" applyFill="1" applyBorder="1" applyAlignment="1">
      <alignment horizontal="center"/>
    </xf>
    <xf numFmtId="0" fontId="6" fillId="14" borderId="98" xfId="0" applyFont="1" applyFill="1" applyBorder="1" applyAlignment="1">
      <alignment horizontal="center"/>
    </xf>
    <xf numFmtId="0" fontId="6" fillId="14" borderId="70" xfId="0" quotePrefix="1" applyFont="1" applyFill="1" applyBorder="1" applyAlignment="1">
      <alignment horizontal="center"/>
    </xf>
    <xf numFmtId="0" fontId="6" fillId="14" borderId="40" xfId="0" quotePrefix="1" applyFont="1" applyFill="1" applyBorder="1" applyAlignment="1">
      <alignment horizontal="center"/>
    </xf>
    <xf numFmtId="0" fontId="6" fillId="14" borderId="70" xfId="0" applyFont="1" applyFill="1" applyBorder="1" applyAlignment="1">
      <alignment horizontal="center"/>
    </xf>
    <xf numFmtId="0" fontId="6" fillId="14" borderId="40" xfId="0" applyFont="1" applyFill="1" applyBorder="1" applyAlignment="1">
      <alignment horizontal="center"/>
    </xf>
    <xf numFmtId="0" fontId="6" fillId="14" borderId="124" xfId="0" applyFont="1" applyFill="1" applyBorder="1" applyAlignment="1">
      <alignment horizontal="center"/>
    </xf>
    <xf numFmtId="0" fontId="6" fillId="14" borderId="66" xfId="0" applyFont="1" applyFill="1" applyBorder="1" applyAlignment="1">
      <alignment horizontal="center"/>
    </xf>
    <xf numFmtId="0" fontId="6" fillId="14" borderId="39" xfId="0" applyFont="1" applyFill="1" applyBorder="1" applyAlignment="1">
      <alignment horizontal="center"/>
    </xf>
    <xf numFmtId="0" fontId="6" fillId="14" borderId="19" xfId="0" applyFont="1" applyFill="1" applyBorder="1" applyAlignment="1">
      <alignment horizontal="center"/>
    </xf>
    <xf numFmtId="2" fontId="53" fillId="14" borderId="98" xfId="0" applyNumberFormat="1" applyFont="1" applyFill="1" applyBorder="1" applyAlignment="1">
      <alignment horizontal="center"/>
    </xf>
    <xf numFmtId="2" fontId="53" fillId="14" borderId="66" xfId="0" applyNumberFormat="1" applyFont="1" applyFill="1" applyBorder="1" applyAlignment="1">
      <alignment horizontal="center"/>
    </xf>
    <xf numFmtId="2" fontId="53" fillId="14" borderId="40" xfId="0" applyNumberFormat="1" applyFont="1" applyFill="1" applyBorder="1" applyAlignment="1">
      <alignment horizontal="center"/>
    </xf>
    <xf numFmtId="2" fontId="53" fillId="14" borderId="19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41" xfId="0" applyFont="1" applyFill="1" applyBorder="1"/>
    <xf numFmtId="1" fontId="6" fillId="0" borderId="55" xfId="0" applyNumberFormat="1" applyFont="1" applyBorder="1"/>
    <xf numFmtId="9" fontId="58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0" fillId="0" borderId="0" xfId="0" applyAlignment="1">
      <alignment wrapText="1"/>
    </xf>
    <xf numFmtId="0" fontId="61" fillId="0" borderId="61" xfId="0" applyFont="1" applyBorder="1" applyAlignment="1">
      <alignment vertical="center" wrapText="1"/>
    </xf>
    <xf numFmtId="0" fontId="61" fillId="0" borderId="62" xfId="0" applyFont="1" applyBorder="1" applyAlignment="1">
      <alignment horizontal="right" vertical="center" wrapText="1"/>
    </xf>
    <xf numFmtId="0" fontId="61" fillId="0" borderId="62" xfId="0" applyFont="1" applyBorder="1" applyAlignment="1">
      <alignment vertical="center" wrapText="1"/>
    </xf>
    <xf numFmtId="0" fontId="61" fillId="0" borderId="72" xfId="0" applyFont="1" applyBorder="1" applyAlignment="1">
      <alignment horizontal="right" vertical="center" wrapText="1"/>
    </xf>
    <xf numFmtId="0" fontId="61" fillId="27" borderId="61" xfId="0" applyFont="1" applyFill="1" applyBorder="1" applyAlignment="1">
      <alignment vertical="center" wrapText="1"/>
    </xf>
    <xf numFmtId="0" fontId="61" fillId="27" borderId="62" xfId="0" applyFont="1" applyFill="1" applyBorder="1" applyAlignment="1">
      <alignment horizontal="right" vertical="center" wrapText="1"/>
    </xf>
    <xf numFmtId="0" fontId="61" fillId="27" borderId="62" xfId="0" applyFont="1" applyFill="1" applyBorder="1" applyAlignment="1">
      <alignment vertical="center" wrapText="1"/>
    </xf>
    <xf numFmtId="0" fontId="61" fillId="27" borderId="72" xfId="0" applyFont="1" applyFill="1" applyBorder="1" applyAlignment="1">
      <alignment horizontal="right" vertical="center" wrapText="1"/>
    </xf>
    <xf numFmtId="0" fontId="61" fillId="26" borderId="61" xfId="0" applyFont="1" applyFill="1" applyBorder="1" applyAlignment="1">
      <alignment vertical="center" wrapText="1"/>
    </xf>
    <xf numFmtId="0" fontId="61" fillId="26" borderId="62" xfId="0" applyFont="1" applyFill="1" applyBorder="1" applyAlignment="1">
      <alignment horizontal="right" vertical="center" wrapText="1"/>
    </xf>
    <xf numFmtId="0" fontId="61" fillId="26" borderId="62" xfId="0" applyFont="1" applyFill="1" applyBorder="1" applyAlignment="1">
      <alignment vertical="center" wrapText="1"/>
    </xf>
    <xf numFmtId="0" fontId="61" fillId="26" borderId="72" xfId="0" applyFont="1" applyFill="1" applyBorder="1" applyAlignment="1">
      <alignment horizontal="right" vertical="center" wrapText="1"/>
    </xf>
    <xf numFmtId="0" fontId="61" fillId="0" borderId="143" xfId="0" applyFont="1" applyBorder="1" applyAlignment="1">
      <alignment vertical="center" wrapText="1"/>
    </xf>
    <xf numFmtId="0" fontId="61" fillId="0" borderId="63" xfId="0" applyFont="1" applyBorder="1" applyAlignment="1">
      <alignment vertical="center" wrapText="1"/>
    </xf>
    <xf numFmtId="0" fontId="61" fillId="0" borderId="63" xfId="0" applyFont="1" applyBorder="1" applyAlignment="1">
      <alignment horizontal="right" vertical="center" wrapText="1"/>
    </xf>
    <xf numFmtId="0" fontId="61" fillId="27" borderId="143" xfId="0" applyFont="1" applyFill="1" applyBorder="1" applyAlignment="1">
      <alignment vertical="center" wrapText="1"/>
    </xf>
    <xf numFmtId="0" fontId="61" fillId="27" borderId="63" xfId="0" applyFont="1" applyFill="1" applyBorder="1" applyAlignment="1">
      <alignment horizontal="right" vertical="center" wrapText="1"/>
    </xf>
    <xf numFmtId="0" fontId="61" fillId="27" borderId="63" xfId="0" applyFont="1" applyFill="1" applyBorder="1" applyAlignment="1">
      <alignment vertical="center" wrapText="1"/>
    </xf>
    <xf numFmtId="0" fontId="62" fillId="0" borderId="62" xfId="0" applyFont="1" applyBorder="1" applyAlignment="1">
      <alignment horizontal="right" vertical="center" wrapText="1"/>
    </xf>
    <xf numFmtId="0" fontId="63" fillId="0" borderId="0" xfId="0" applyFont="1" applyAlignment="1">
      <alignment wrapText="1"/>
    </xf>
    <xf numFmtId="0" fontId="63" fillId="0" borderId="0" xfId="0" applyFont="1"/>
    <xf numFmtId="0" fontId="38" fillId="0" borderId="63" xfId="0" applyFont="1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2" xfId="0" applyBorder="1" applyAlignment="1">
      <alignment horizontal="left" vertical="center"/>
    </xf>
    <xf numFmtId="0" fontId="7" fillId="33" borderId="62" xfId="0" applyFont="1" applyFill="1" applyBorder="1" applyAlignment="1">
      <alignment horizontal="left" vertical="center"/>
    </xf>
    <xf numFmtId="0" fontId="7" fillId="53" borderId="62" xfId="0" applyFont="1" applyFill="1" applyBorder="1" applyAlignment="1">
      <alignment horizontal="left" vertical="center"/>
    </xf>
    <xf numFmtId="0" fontId="0" fillId="32" borderId="62" xfId="0" applyFill="1" applyBorder="1" applyAlignment="1">
      <alignment horizontal="left" vertical="center"/>
    </xf>
    <xf numFmtId="0" fontId="0" fillId="54" borderId="62" xfId="0" applyFill="1" applyBorder="1" applyAlignment="1">
      <alignment horizontal="left" vertical="center"/>
    </xf>
    <xf numFmtId="0" fontId="0" fillId="19" borderId="62" xfId="0" applyFill="1" applyBorder="1" applyAlignment="1">
      <alignment horizontal="left" vertical="center"/>
    </xf>
    <xf numFmtId="0" fontId="0" fillId="39" borderId="62" xfId="0" applyFill="1" applyBorder="1" applyAlignment="1">
      <alignment horizontal="left" vertical="center"/>
    </xf>
    <xf numFmtId="0" fontId="4" fillId="0" borderId="62" xfId="0" applyFont="1" applyBorder="1" applyAlignment="1">
      <alignment horizontal="left" vertical="center"/>
    </xf>
    <xf numFmtId="0" fontId="0" fillId="7" borderId="62" xfId="0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6" fillId="0" borderId="62" xfId="0" applyFont="1" applyBorder="1" applyAlignment="1">
      <alignment horizontal="left" vertical="center" wrapText="1"/>
    </xf>
    <xf numFmtId="0" fontId="66" fillId="0" borderId="62" xfId="0" applyFont="1" applyBorder="1" applyAlignment="1">
      <alignment horizontal="left" vertical="center"/>
    </xf>
    <xf numFmtId="0" fontId="37" fillId="8" borderId="61" xfId="0" applyFont="1" applyFill="1" applyBorder="1" applyAlignment="1">
      <alignment horizontal="center" vertical="center" wrapText="1"/>
    </xf>
    <xf numFmtId="0" fontId="37" fillId="8" borderId="62" xfId="0" applyFont="1" applyFill="1" applyBorder="1" applyAlignment="1">
      <alignment horizontal="center" vertical="center" wrapText="1"/>
    </xf>
    <xf numFmtId="0" fontId="37" fillId="8" borderId="72" xfId="0" applyFont="1" applyFill="1" applyBorder="1" applyAlignment="1">
      <alignment horizontal="center" vertical="center" wrapText="1"/>
    </xf>
    <xf numFmtId="0" fontId="61" fillId="26" borderId="72" xfId="0" applyFont="1" applyFill="1" applyBorder="1" applyAlignment="1">
      <alignment vertical="center" wrapText="1"/>
    </xf>
    <xf numFmtId="0" fontId="61" fillId="0" borderId="72" xfId="0" applyFont="1" applyBorder="1" applyAlignment="1">
      <alignment vertical="center" wrapText="1"/>
    </xf>
    <xf numFmtId="0" fontId="61" fillId="0" borderId="144" xfId="0" applyFont="1" applyBorder="1" applyAlignment="1">
      <alignment vertical="center" wrapText="1"/>
    </xf>
    <xf numFmtId="0" fontId="61" fillId="27" borderId="144" xfId="0" applyFont="1" applyFill="1" applyBorder="1" applyAlignment="1">
      <alignment vertical="center" wrapText="1"/>
    </xf>
    <xf numFmtId="0" fontId="9" fillId="0" borderId="22" xfId="0" applyFont="1" applyBorder="1" applyAlignment="1">
      <alignment horizontal="center"/>
    </xf>
    <xf numFmtId="0" fontId="67" fillId="47" borderId="0" xfId="0" applyFont="1" applyFill="1" applyAlignment="1">
      <alignment horizontal="center" vertical="center"/>
    </xf>
    <xf numFmtId="0" fontId="68" fillId="20" borderId="0" xfId="0" applyFont="1" applyFill="1" applyAlignment="1">
      <alignment horizontal="center" vertical="center"/>
    </xf>
    <xf numFmtId="0" fontId="67" fillId="47" borderId="0" xfId="0" applyFont="1" applyFill="1" applyAlignment="1">
      <alignment horizontal="left" vertical="center"/>
    </xf>
    <xf numFmtId="0" fontId="68" fillId="20" borderId="0" xfId="0" applyFont="1" applyFill="1" applyAlignment="1">
      <alignment horizontal="left" vertical="center"/>
    </xf>
    <xf numFmtId="0" fontId="6" fillId="0" borderId="142" xfId="10"/>
    <xf numFmtId="164" fontId="43" fillId="0" borderId="0" xfId="0" applyNumberFormat="1" applyFont="1"/>
    <xf numFmtId="164" fontId="69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2" fillId="2" borderId="1" xfId="2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7" xfId="2" applyBorder="1" applyAlignment="1">
      <alignment horizontal="center"/>
    </xf>
    <xf numFmtId="166" fontId="2" fillId="2" borderId="147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7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8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0" fontId="21" fillId="0" borderId="20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4" fillId="0" borderId="0" xfId="0" applyFont="1" applyFill="1" applyBorder="1"/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9" fillId="0" borderId="77" xfId="0" applyFont="1" applyBorder="1"/>
    <xf numFmtId="0" fontId="11" fillId="7" borderId="47" xfId="0" applyFont="1" applyFill="1" applyBorder="1"/>
    <xf numFmtId="0" fontId="11" fillId="48" borderId="54" xfId="0" applyFont="1" applyFill="1" applyBorder="1"/>
    <xf numFmtId="0" fontId="9" fillId="46" borderId="47" xfId="0" applyFont="1" applyFill="1" applyBorder="1"/>
    <xf numFmtId="0" fontId="9" fillId="47" borderId="54" xfId="0" applyFont="1" applyFill="1" applyBorder="1"/>
    <xf numFmtId="0" fontId="12" fillId="8" borderId="20" xfId="0" applyFont="1" applyFill="1" applyBorder="1"/>
    <xf numFmtId="0" fontId="9" fillId="0" borderId="0" xfId="0" applyFont="1" applyAlignment="1">
      <alignment horizontal="left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55" borderId="62" xfId="0" applyFont="1" applyFill="1" applyBorder="1"/>
    <xf numFmtId="167" fontId="0" fillId="0" borderId="0" xfId="0" applyNumberFormat="1"/>
    <xf numFmtId="0" fontId="14" fillId="19" borderId="35" xfId="0" applyFont="1" applyFill="1" applyBorder="1" applyAlignment="1">
      <alignment horizontal="center" vertical="center"/>
    </xf>
    <xf numFmtId="0" fontId="9" fillId="19" borderId="35" xfId="0" applyFont="1" applyFill="1" applyBorder="1" applyAlignment="1">
      <alignment horizontal="center" vertical="center"/>
    </xf>
    <xf numFmtId="0" fontId="14" fillId="19" borderId="17" xfId="0" applyFont="1" applyFill="1" applyBorder="1" applyAlignment="1">
      <alignment horizontal="center" vertical="center"/>
    </xf>
    <xf numFmtId="0" fontId="9" fillId="19" borderId="17" xfId="0" applyFont="1" applyFill="1" applyBorder="1" applyAlignment="1">
      <alignment horizontal="center" vertical="center"/>
    </xf>
    <xf numFmtId="0" fontId="14" fillId="19" borderId="36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 vertical="center"/>
    </xf>
    <xf numFmtId="0" fontId="14" fillId="19" borderId="22" xfId="0" applyFont="1" applyFill="1" applyBorder="1" applyAlignment="1">
      <alignment horizontal="center" vertical="center"/>
    </xf>
    <xf numFmtId="0" fontId="14" fillId="19" borderId="30" xfId="0" applyFont="1" applyFill="1" applyBorder="1" applyAlignment="1">
      <alignment horizontal="center" vertical="center"/>
    </xf>
    <xf numFmtId="0" fontId="9" fillId="19" borderId="30" xfId="0" applyFont="1" applyFill="1" applyBorder="1" applyAlignment="1">
      <alignment horizontal="center" vertical="center"/>
    </xf>
    <xf numFmtId="0" fontId="14" fillId="19" borderId="29" xfId="0" applyFont="1" applyFill="1" applyBorder="1" applyAlignment="1">
      <alignment horizontal="center" vertical="center"/>
    </xf>
    <xf numFmtId="0" fontId="9" fillId="19" borderId="12" xfId="0" applyFont="1" applyFill="1" applyBorder="1" applyAlignment="1">
      <alignment horizontal="center" vertical="center"/>
    </xf>
    <xf numFmtId="0" fontId="14" fillId="19" borderId="16" xfId="0" applyFont="1" applyFill="1" applyBorder="1" applyAlignment="1">
      <alignment horizontal="center" vertical="center"/>
    </xf>
    <xf numFmtId="0" fontId="70" fillId="19" borderId="0" xfId="0" applyFont="1" applyFill="1" applyBorder="1" applyAlignment="1">
      <alignment horizontal="center"/>
    </xf>
    <xf numFmtId="166" fontId="15" fillId="2" borderId="127" xfId="2" applyNumberFormat="1" applyFont="1" applyBorder="1" applyAlignment="1">
      <alignment horizontal="center"/>
    </xf>
    <xf numFmtId="0" fontId="70" fillId="19" borderId="18" xfId="0" applyFont="1" applyFill="1" applyBorder="1" applyAlignment="1">
      <alignment horizontal="center"/>
    </xf>
    <xf numFmtId="0" fontId="0" fillId="0" borderId="138" xfId="0" applyBorder="1"/>
    <xf numFmtId="0" fontId="0" fillId="0" borderId="121" xfId="0" applyBorder="1"/>
    <xf numFmtId="0" fontId="0" fillId="0" borderId="124" xfId="0" applyFont="1" applyFill="1" applyBorder="1" applyAlignment="1">
      <alignment horizontal="center"/>
    </xf>
    <xf numFmtId="0" fontId="0" fillId="0" borderId="98" xfId="0" applyFont="1" applyFill="1" applyBorder="1" applyAlignment="1">
      <alignment horizontal="center"/>
    </xf>
    <xf numFmtId="0" fontId="0" fillId="0" borderId="39" xfId="0" applyFont="1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6" fontId="6" fillId="0" borderId="124" xfId="0" applyNumberFormat="1" applyFont="1" applyFill="1" applyBorder="1" applyAlignment="1">
      <alignment horizontal="center"/>
    </xf>
    <xf numFmtId="166" fontId="6" fillId="0" borderId="98" xfId="0" applyNumberFormat="1" applyFont="1" applyFill="1" applyBorder="1" applyAlignment="1">
      <alignment horizontal="center"/>
    </xf>
    <xf numFmtId="166" fontId="6" fillId="0" borderId="39" xfId="0" applyNumberFormat="1" applyFont="1" applyFill="1" applyBorder="1" applyAlignment="1">
      <alignment horizontal="center"/>
    </xf>
    <xf numFmtId="166" fontId="6" fillId="0" borderId="40" xfId="0" applyNumberFormat="1" applyFon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3" fillId="43" borderId="0" xfId="0" applyFont="1" applyFill="1" applyBorder="1" applyAlignment="1">
      <alignment horizontal="left"/>
    </xf>
    <xf numFmtId="166" fontId="0" fillId="0" borderId="0" xfId="0" applyNumberFormat="1" applyBorder="1" applyAlignment="1">
      <alignment horizontal="right"/>
    </xf>
    <xf numFmtId="0" fontId="0" fillId="0" borderId="18" xfId="0" applyFill="1" applyBorder="1" applyAlignment="1">
      <alignment horizontal="right"/>
    </xf>
    <xf numFmtId="0" fontId="4" fillId="0" borderId="124" xfId="0" applyFont="1" applyFill="1" applyBorder="1" applyAlignment="1">
      <alignment horizontal="center"/>
    </xf>
    <xf numFmtId="0" fontId="4" fillId="0" borderId="98" xfId="0" applyFont="1" applyFill="1" applyBorder="1" applyAlignment="1">
      <alignment horizontal="center"/>
    </xf>
    <xf numFmtId="166" fontId="18" fillId="0" borderId="124" xfId="0" applyNumberFormat="1" applyFont="1" applyFill="1" applyBorder="1" applyAlignment="1">
      <alignment horizontal="center"/>
    </xf>
    <xf numFmtId="166" fontId="18" fillId="0" borderId="98" xfId="0" applyNumberFormat="1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166" fontId="18" fillId="0" borderId="39" xfId="0" applyNumberFormat="1" applyFont="1" applyFill="1" applyBorder="1" applyAlignment="1">
      <alignment horizontal="center"/>
    </xf>
    <xf numFmtId="166" fontId="18" fillId="0" borderId="40" xfId="0" applyNumberFormat="1" applyFont="1" applyFill="1" applyBorder="1" applyAlignment="1">
      <alignment horizontal="center"/>
    </xf>
    <xf numFmtId="14" fontId="0" fillId="0" borderId="18" xfId="0" applyNumberFormat="1" applyBorder="1" applyAlignment="1">
      <alignment horizontal="left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165" fontId="53" fillId="0" borderId="0" xfId="1" applyNumberFormat="1" applyFont="1" applyBorder="1"/>
    <xf numFmtId="165" fontId="15" fillId="0" borderId="53" xfId="1" applyNumberFormat="1" applyFont="1" applyBorder="1"/>
    <xf numFmtId="1" fontId="0" fillId="0" borderId="0" xfId="0" applyNumberFormat="1" applyAlignment="1">
      <alignment horizontal="left"/>
    </xf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0" fontId="4" fillId="2" borderId="1" xfId="2" quotePrefix="1" applyFont="1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18" fillId="19" borderId="75" xfId="0" applyFont="1" applyFill="1" applyBorder="1" applyAlignment="1">
      <alignment horizontal="center"/>
    </xf>
    <xf numFmtId="0" fontId="18" fillId="19" borderId="76" xfId="0" applyFont="1" applyFill="1" applyBorder="1" applyAlignment="1">
      <alignment horizontal="center"/>
    </xf>
    <xf numFmtId="0" fontId="18" fillId="19" borderId="77" xfId="0" applyFont="1" applyFill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140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59" fillId="20" borderId="61" xfId="0" applyFont="1" applyFill="1" applyBorder="1" applyAlignment="1">
      <alignment horizontal="center" vertical="center" wrapText="1"/>
    </xf>
    <xf numFmtId="0" fontId="59" fillId="20" borderId="62" xfId="0" applyFont="1" applyFill="1" applyBorder="1" applyAlignment="1">
      <alignment horizontal="center" vertical="center" wrapText="1"/>
    </xf>
    <xf numFmtId="0" fontId="59" fillId="20" borderId="72" xfId="0" applyFont="1" applyFill="1" applyBorder="1" applyAlignment="1">
      <alignment horizontal="center" vertical="center" wrapText="1"/>
    </xf>
    <xf numFmtId="0" fontId="59" fillId="32" borderId="61" xfId="0" applyFont="1" applyFill="1" applyBorder="1" applyAlignment="1">
      <alignment horizontal="center" vertical="center" wrapText="1"/>
    </xf>
    <xf numFmtId="0" fontId="59" fillId="32" borderId="62" xfId="0" applyFont="1" applyFill="1" applyBorder="1" applyAlignment="1">
      <alignment horizontal="center" vertical="center" wrapText="1"/>
    </xf>
    <xf numFmtId="0" fontId="59" fillId="32" borderId="72" xfId="0" applyFont="1" applyFill="1" applyBorder="1" applyAlignment="1">
      <alignment horizontal="center" vertical="center" wrapText="1"/>
    </xf>
    <xf numFmtId="0" fontId="59" fillId="52" borderId="61" xfId="0" applyFont="1" applyFill="1" applyBorder="1" applyAlignment="1">
      <alignment horizontal="center" vertical="center" wrapText="1"/>
    </xf>
    <xf numFmtId="0" fontId="59" fillId="52" borderId="62" xfId="0" applyFont="1" applyFill="1" applyBorder="1" applyAlignment="1">
      <alignment horizontal="center" vertical="center" wrapText="1"/>
    </xf>
    <xf numFmtId="0" fontId="59" fillId="52" borderId="72" xfId="0" applyFont="1" applyFill="1" applyBorder="1" applyAlignment="1">
      <alignment horizontal="center" vertical="center" wrapText="1"/>
    </xf>
    <xf numFmtId="0" fontId="36" fillId="8" borderId="143" xfId="0" applyFont="1" applyFill="1" applyBorder="1" applyAlignment="1">
      <alignment horizontal="left" vertical="center" wrapText="1"/>
    </xf>
    <xf numFmtId="0" fontId="36" fillId="8" borderId="63" xfId="0" applyFont="1" applyFill="1" applyBorder="1" applyAlignment="1">
      <alignment horizontal="left" vertical="center" wrapText="1"/>
    </xf>
    <xf numFmtId="0" fontId="36" fillId="8" borderId="144" xfId="0" applyFont="1" applyFill="1" applyBorder="1" applyAlignment="1">
      <alignment horizontal="left" vertical="center" wrapText="1"/>
    </xf>
    <xf numFmtId="0" fontId="64" fillId="0" borderId="44" xfId="0" applyFont="1" applyBorder="1" applyAlignment="1">
      <alignment horizontal="left" vertical="top" wrapText="1"/>
    </xf>
    <xf numFmtId="0" fontId="64" fillId="0" borderId="46" xfId="0" applyFont="1" applyBorder="1" applyAlignment="1">
      <alignment horizontal="left" vertical="top" wrapText="1"/>
    </xf>
    <xf numFmtId="0" fontId="64" fillId="0" borderId="47" xfId="0" applyFont="1" applyBorder="1" applyAlignment="1">
      <alignment horizontal="left" vertical="top" wrapText="1"/>
    </xf>
    <xf numFmtId="0" fontId="64" fillId="0" borderId="55" xfId="0" applyFont="1" applyBorder="1" applyAlignment="1">
      <alignment horizontal="left" vertical="top" wrapText="1"/>
    </xf>
    <xf numFmtId="0" fontId="64" fillId="0" borderId="0" xfId="0" applyFont="1" applyAlignment="1">
      <alignment horizontal="left" vertical="top" wrapText="1"/>
    </xf>
    <xf numFmtId="0" fontId="64" fillId="0" borderId="51" xfId="0" applyFont="1" applyBorder="1" applyAlignment="1">
      <alignment horizontal="left" vertical="top" wrapText="1"/>
    </xf>
    <xf numFmtId="0" fontId="64" fillId="0" borderId="56" xfId="0" applyFont="1" applyBorder="1" applyAlignment="1">
      <alignment horizontal="left" vertical="top" wrapText="1"/>
    </xf>
    <xf numFmtId="0" fontId="64" fillId="0" borderId="53" xfId="0" applyFont="1" applyBorder="1" applyAlignment="1">
      <alignment horizontal="left" vertical="top" wrapText="1"/>
    </xf>
    <xf numFmtId="0" fontId="64" fillId="0" borderId="54" xfId="0" applyFont="1" applyBorder="1" applyAlignment="1">
      <alignment horizontal="left" vertical="top" wrapText="1"/>
    </xf>
    <xf numFmtId="0" fontId="59" fillId="51" borderId="61" xfId="0" applyFont="1" applyFill="1" applyBorder="1" applyAlignment="1">
      <alignment horizontal="center" wrapText="1"/>
    </xf>
    <xf numFmtId="0" fontId="59" fillId="51" borderId="62" xfId="0" applyFont="1" applyFill="1" applyBorder="1" applyAlignment="1">
      <alignment horizontal="center" wrapText="1"/>
    </xf>
    <xf numFmtId="0" fontId="59" fillId="51" borderId="72" xfId="0" applyFont="1" applyFill="1" applyBorder="1" applyAlignment="1">
      <alignment horizontal="center" wrapText="1"/>
    </xf>
    <xf numFmtId="0" fontId="65" fillId="8" borderId="44" xfId="0" applyFont="1" applyFill="1" applyBorder="1" applyAlignment="1">
      <alignment horizontal="center" vertical="center" wrapText="1"/>
    </xf>
    <xf numFmtId="0" fontId="65" fillId="8" borderId="46" xfId="0" applyFont="1" applyFill="1" applyBorder="1" applyAlignment="1">
      <alignment horizontal="center" vertical="center" wrapText="1"/>
    </xf>
    <xf numFmtId="0" fontId="65" fillId="8" borderId="47" xfId="0" applyFont="1" applyFill="1" applyBorder="1" applyAlignment="1">
      <alignment horizontal="center" vertical="center" wrapText="1"/>
    </xf>
    <xf numFmtId="0" fontId="59" fillId="0" borderId="143" xfId="0" applyFont="1" applyBorder="1" applyAlignment="1">
      <alignment horizontal="center" vertical="center" wrapText="1"/>
    </xf>
    <xf numFmtId="0" fontId="59" fillId="0" borderId="145" xfId="0" applyFont="1" applyBorder="1" applyAlignment="1">
      <alignment horizontal="center" vertical="center" wrapText="1"/>
    </xf>
    <xf numFmtId="0" fontId="60" fillId="50" borderId="63" xfId="0" applyFont="1" applyFill="1" applyBorder="1" applyAlignment="1">
      <alignment horizontal="center" vertical="center" wrapText="1"/>
    </xf>
    <xf numFmtId="0" fontId="60" fillId="50" borderId="121" xfId="0" applyFont="1" applyFill="1" applyBorder="1" applyAlignment="1">
      <alignment horizontal="center" vertical="center" wrapText="1"/>
    </xf>
    <xf numFmtId="0" fontId="59" fillId="0" borderId="138" xfId="0" applyFont="1" applyBorder="1" applyAlignment="1">
      <alignment horizontal="center" vertical="center" wrapText="1"/>
    </xf>
    <xf numFmtId="0" fontId="59" fillId="0" borderId="121" xfId="0" applyFont="1" applyBorder="1" applyAlignment="1">
      <alignment horizontal="center" vertical="center" wrapText="1"/>
    </xf>
    <xf numFmtId="14" fontId="59" fillId="0" borderId="144" xfId="0" applyNumberFormat="1" applyFont="1" applyBorder="1" applyAlignment="1">
      <alignment horizontal="center" vertical="center" wrapText="1"/>
    </xf>
    <xf numFmtId="0" fontId="59" fillId="0" borderId="146" xfId="0" applyFont="1" applyBorder="1" applyAlignment="1">
      <alignment horizontal="center" vertical="center" wrapText="1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0" fontId="38" fillId="26" borderId="0" xfId="0" applyFont="1" applyFill="1" applyAlignment="1">
      <alignment horizontal="center" vertical="center" textRotation="90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4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  <xf numFmtId="0" fontId="15" fillId="2" borderId="1" xfId="2" quotePrefix="1" applyFont="1" applyBorder="1" applyAlignment="1">
      <alignment horizontal="center"/>
    </xf>
  </cellXfs>
  <cellStyles count="11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Output" xfId="3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(LM-FP3)'!$C$2:$H$2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B0-4998-AB09-3FAE499F5A5D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(LM-FP3)'!$B$9:$B$23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0-4998-AB09-3FAE499F5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(LM-FP3)'!$B$9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17-49BB-9C4A-CD1A41D3AD72}"/>
            </c:ext>
          </c:extLst>
        </c:ser>
        <c:ser>
          <c:idx val="1"/>
          <c:order val="1"/>
          <c:tx>
            <c:strRef>
              <c:f>'03_Anti-Roll Bars (LM-FP3)'!$B$9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(LM-FP3)'!$D$26:$F$26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17-49BB-9C4A-CD1A41D3AD72}"/>
            </c:ext>
          </c:extLst>
        </c:ser>
        <c:ser>
          <c:idx val="2"/>
          <c:order val="2"/>
          <c:tx>
            <c:strRef>
              <c:f>'03_Anti-Roll Bars (LM-FP3)'!$B$9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17-49BB-9C4A-CD1A41D3AD72}"/>
            </c:ext>
          </c:extLst>
        </c:ser>
        <c:ser>
          <c:idx val="3"/>
          <c:order val="3"/>
          <c:tx>
            <c:strRef>
              <c:f>'03_Anti-Roll Bars (LM-FP3)'!$B$9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17-49BB-9C4A-CD1A41D3AD72}"/>
            </c:ext>
          </c:extLst>
        </c:ser>
        <c:ser>
          <c:idx val="4"/>
          <c:order val="4"/>
          <c:tx>
            <c:strRef>
              <c:f>'03_Anti-Roll Bars (LM-FP3)'!$B$10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(LM-FP3)'!$C$10:$D$10</c:f>
              <c:numCache>
                <c:formatCode>0.000</c:formatCode>
                <c:ptCount val="2"/>
                <c:pt idx="0">
                  <c:v>0.25893325934107547</c:v>
                </c:pt>
                <c:pt idx="1">
                  <c:v>0.27976750189690885</c:v>
                </c:pt>
              </c:numCache>
            </c:numRef>
          </c:xVal>
          <c:yVal>
            <c:numRef>
              <c:f>'03_Anti-Roll Bars (LM-FP3)'!$C$27:$D$27</c:f>
              <c:numCache>
                <c:formatCode>0.0%</c:formatCode>
                <c:ptCount val="2"/>
                <c:pt idx="0">
                  <c:v>0.52125009687264812</c:v>
                </c:pt>
                <c:pt idx="1">
                  <c:v>0.48272900602970475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17-49BB-9C4A-CD1A41D3AD72}"/>
            </c:ext>
          </c:extLst>
        </c:ser>
        <c:ser>
          <c:idx val="5"/>
          <c:order val="5"/>
          <c:tx>
            <c:strRef>
              <c:f>'03_Anti-Roll Bars (LM-FP3)'!$B$10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(LM-FP3)'!$D$10:$F$10</c:f>
              <c:numCache>
                <c:formatCode>0.000</c:formatCode>
                <c:ptCount val="3"/>
                <c:pt idx="0">
                  <c:v>0.27976750189690885</c:v>
                </c:pt>
                <c:pt idx="1">
                  <c:v>0.2884897416269056</c:v>
                </c:pt>
                <c:pt idx="2">
                  <c:v>0.29773471167030557</c:v>
                </c:pt>
              </c:numCache>
            </c:numRef>
          </c:xVal>
          <c:yVal>
            <c:numRef>
              <c:f>'03_Anti-Roll Bars (LM-FP3)'!$D$27:$F$27</c:f>
              <c:numCache>
                <c:formatCode>0.0%</c:formatCode>
                <c:ptCount val="3"/>
                <c:pt idx="0">
                  <c:v>0.48272900602970475</c:v>
                </c:pt>
                <c:pt idx="1">
                  <c:v>0.46660218077590832</c:v>
                </c:pt>
                <c:pt idx="2">
                  <c:v>0.44950886289176994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917-49BB-9C4A-CD1A41D3AD72}"/>
            </c:ext>
          </c:extLst>
        </c:ser>
        <c:ser>
          <c:idx val="6"/>
          <c:order val="6"/>
          <c:tx>
            <c:strRef>
              <c:f>'03_Anti-Roll Bars (LM-FP3)'!$B$10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(LM-FP3)'!$F$10:$G$10</c:f>
              <c:numCache>
                <c:formatCode>0.000</c:formatCode>
                <c:ptCount val="2"/>
                <c:pt idx="0">
                  <c:v>0.29773471167030557</c:v>
                </c:pt>
              </c:numCache>
            </c:numRef>
          </c:xVal>
          <c:yVal>
            <c:numRef>
              <c:f>'03_Anti-Roll Bars (LM-FP3)'!$F$27:$G$27</c:f>
              <c:numCache>
                <c:formatCode>0.0%</c:formatCode>
                <c:ptCount val="2"/>
                <c:pt idx="0">
                  <c:v>0.44950886289176994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917-49BB-9C4A-CD1A41D3AD72}"/>
            </c:ext>
          </c:extLst>
        </c:ser>
        <c:ser>
          <c:idx val="7"/>
          <c:order val="7"/>
          <c:tx>
            <c:strRef>
              <c:f>'03_Anti-Roll Bars (LM-FP3)'!$B$10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917-49BB-9C4A-CD1A41D3AD72}"/>
            </c:ext>
          </c:extLst>
        </c:ser>
        <c:ser>
          <c:idx val="8"/>
          <c:order val="8"/>
          <c:tx>
            <c:strRef>
              <c:f>'03_Anti-Roll Bars (LM-FP3)'!$B$11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(LM-FP3)'!$C$11:$D$11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917-49BB-9C4A-CD1A41D3AD72}"/>
            </c:ext>
          </c:extLst>
        </c:ser>
        <c:ser>
          <c:idx val="9"/>
          <c:order val="9"/>
          <c:tx>
            <c:strRef>
              <c:f>'03_Anti-Roll Bars (LM-FP3)'!$B$11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(LM-FP3)'!$D$11:$F$11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(LM-FP3)'!$D$28:$F$28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917-49BB-9C4A-CD1A41D3AD72}"/>
            </c:ext>
          </c:extLst>
        </c:ser>
        <c:ser>
          <c:idx val="10"/>
          <c:order val="10"/>
          <c:tx>
            <c:strRef>
              <c:f>'03_Anti-Roll Bars (LM-FP3)'!$B$11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(LM-FP3)'!$F$11:$G$11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917-49BB-9C4A-CD1A41D3AD72}"/>
            </c:ext>
          </c:extLst>
        </c:ser>
        <c:ser>
          <c:idx val="11"/>
          <c:order val="11"/>
          <c:tx>
            <c:strRef>
              <c:f>'03_Anti-Roll Bars (LM-FP3)'!$B$11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(LM-FP3)'!$G$11:$H$11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917-49BB-9C4A-CD1A41D3AD72}"/>
            </c:ext>
          </c:extLst>
        </c:ser>
        <c:ser>
          <c:idx val="12"/>
          <c:order val="12"/>
          <c:tx>
            <c:strRef>
              <c:f>'03_Anti-Roll Bars (LM-FP3)'!$B$12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(LM-FP3)'!$C$12:$D$12</c:f>
              <c:numCache>
                <c:formatCode>0.000</c:formatCode>
                <c:ptCount val="2"/>
                <c:pt idx="0">
                  <c:v>0.26388812698727482</c:v>
                </c:pt>
                <c:pt idx="1">
                  <c:v>0.28556072304426705</c:v>
                </c:pt>
              </c:numCache>
            </c:numRef>
          </c:xVal>
          <c:yVal>
            <c:numRef>
              <c:f>'03_Anti-Roll Bars (LM-FP3)'!$C$29:$D$29</c:f>
              <c:numCache>
                <c:formatCode>0.0%</c:formatCode>
                <c:ptCount val="2"/>
                <c:pt idx="0">
                  <c:v>0.53122457928230449</c:v>
                </c:pt>
                <c:pt idx="1">
                  <c:v>0.49272500580527906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917-49BB-9C4A-CD1A41D3AD72}"/>
            </c:ext>
          </c:extLst>
        </c:ser>
        <c:ser>
          <c:idx val="13"/>
          <c:order val="13"/>
          <c:tx>
            <c:strRef>
              <c:f>'03_Anti-Roll Bars (LM-FP3)'!$B$12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(LM-FP3)'!$D$12:$F$12</c:f>
              <c:numCache>
                <c:formatCode>0.000</c:formatCode>
                <c:ptCount val="3"/>
                <c:pt idx="0">
                  <c:v>0.28556072304426705</c:v>
                </c:pt>
                <c:pt idx="1">
                  <c:v>0.29465380069209796</c:v>
                </c:pt>
                <c:pt idx="2">
                  <c:v>0.30430466755597546</c:v>
                </c:pt>
              </c:numCache>
            </c:numRef>
          </c:xVal>
          <c:yVal>
            <c:numRef>
              <c:f>'03_Anti-Roll Bars (LM-FP3)'!$D$29:$F$29</c:f>
              <c:numCache>
                <c:formatCode>0.0%</c:formatCode>
                <c:ptCount val="3"/>
                <c:pt idx="0">
                  <c:v>0.49272500580527906</c:v>
                </c:pt>
                <c:pt idx="1">
                  <c:v>0.47657190582065501</c:v>
                </c:pt>
                <c:pt idx="2">
                  <c:v>0.45942793945106231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917-49BB-9C4A-CD1A41D3AD72}"/>
            </c:ext>
          </c:extLst>
        </c:ser>
        <c:ser>
          <c:idx val="14"/>
          <c:order val="14"/>
          <c:tx>
            <c:strRef>
              <c:f>'03_Anti-Roll Bars (LM-FP3)'!$B$12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(LM-FP3)'!$F$12:$G$12</c:f>
              <c:numCache>
                <c:formatCode>0.000</c:formatCode>
                <c:ptCount val="2"/>
                <c:pt idx="0">
                  <c:v>0.30430466755597546</c:v>
                </c:pt>
              </c:numCache>
            </c:numRef>
          </c:xVal>
          <c:yVal>
            <c:numRef>
              <c:f>'03_Anti-Roll Bars (LM-FP3)'!$F$29:$G$29</c:f>
              <c:numCache>
                <c:formatCode>0.0%</c:formatCode>
                <c:ptCount val="2"/>
                <c:pt idx="0">
                  <c:v>0.45942793945106231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917-49BB-9C4A-CD1A41D3AD72}"/>
            </c:ext>
          </c:extLst>
        </c:ser>
        <c:ser>
          <c:idx val="15"/>
          <c:order val="15"/>
          <c:tx>
            <c:strRef>
              <c:f>'03_Anti-Roll Bars (LM-FP3)'!$B$12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(LM-FP3)'!$G$12:$H$12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917-49BB-9C4A-CD1A41D3AD72}"/>
            </c:ext>
          </c:extLst>
        </c:ser>
        <c:ser>
          <c:idx val="16"/>
          <c:order val="16"/>
          <c:tx>
            <c:strRef>
              <c:f>'03_Anti-Roll Bars (LM-FP3)'!$B$13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(LM-FP3)'!$C$13:$D$13</c:f>
              <c:numCache>
                <c:formatCode>0.000</c:formatCode>
                <c:ptCount val="2"/>
                <c:pt idx="0">
                  <c:v>0.26651039619327765</c:v>
                </c:pt>
                <c:pt idx="1">
                  <c:v>0.28863391081409945</c:v>
                </c:pt>
              </c:numCache>
            </c:numRef>
          </c:xVal>
          <c:yVal>
            <c:numRef>
              <c:f>'03_Anti-Roll Bars (LM-FP3)'!$C$30:$D$30</c:f>
              <c:numCache>
                <c:formatCode>0.0%</c:formatCode>
                <c:ptCount val="2"/>
                <c:pt idx="0">
                  <c:v>0.53650338387130725</c:v>
                </c:pt>
                <c:pt idx="1">
                  <c:v>0.49802768344801868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917-49BB-9C4A-CD1A41D3AD72}"/>
            </c:ext>
          </c:extLst>
        </c:ser>
        <c:ser>
          <c:idx val="17"/>
          <c:order val="17"/>
          <c:tx>
            <c:strRef>
              <c:f>'03_Anti-Roll Bars (LM-FP3)'!$B$13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(LM-FP3)'!$D$13:$F$13</c:f>
              <c:numCache>
                <c:formatCode>0.000</c:formatCode>
                <c:ptCount val="3"/>
                <c:pt idx="0">
                  <c:v>0.28863391081409945</c:v>
                </c:pt>
                <c:pt idx="1">
                  <c:v>0.29792694459591562</c:v>
                </c:pt>
                <c:pt idx="2">
                  <c:v>0.30779700558957968</c:v>
                </c:pt>
              </c:numCache>
            </c:numRef>
          </c:xVal>
          <c:yVal>
            <c:numRef>
              <c:f>'03_Anti-Roll Bars (LM-FP3)'!$D$30:$F$30</c:f>
              <c:numCache>
                <c:formatCode>0.0%</c:formatCode>
                <c:ptCount val="3"/>
                <c:pt idx="0">
                  <c:v>0.49802768344801868</c:v>
                </c:pt>
                <c:pt idx="1">
                  <c:v>0.48186587598022407</c:v>
                </c:pt>
                <c:pt idx="2">
                  <c:v>0.46470054233136548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917-49BB-9C4A-CD1A41D3AD72}"/>
            </c:ext>
          </c:extLst>
        </c:ser>
        <c:ser>
          <c:idx val="18"/>
          <c:order val="18"/>
          <c:tx>
            <c:strRef>
              <c:f>'03_Anti-Roll Bars (LM-FP3)'!$B$13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(LM-FP3)'!$F$13:$G$13</c:f>
              <c:numCache>
                <c:formatCode>0.000</c:formatCode>
                <c:ptCount val="2"/>
                <c:pt idx="0">
                  <c:v>0.30779700558957968</c:v>
                </c:pt>
              </c:numCache>
            </c:numRef>
          </c:xVal>
          <c:yVal>
            <c:numRef>
              <c:f>'03_Anti-Roll Bars (LM-FP3)'!$F$30:$G$30</c:f>
              <c:numCache>
                <c:formatCode>0.0%</c:formatCode>
                <c:ptCount val="2"/>
                <c:pt idx="0">
                  <c:v>0.46470054233136548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917-49BB-9C4A-CD1A41D3AD72}"/>
            </c:ext>
          </c:extLst>
        </c:ser>
        <c:ser>
          <c:idx val="19"/>
          <c:order val="19"/>
          <c:tx>
            <c:strRef>
              <c:f>'03_Anti-Roll Bars (LM-FP3)'!$B$13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917-49BB-9C4A-CD1A41D3AD72}"/>
            </c:ext>
          </c:extLst>
        </c:ser>
        <c:ser>
          <c:idx val="20"/>
          <c:order val="20"/>
          <c:tx>
            <c:strRef>
              <c:f>'03_Anti-Roll Bars (LM-FP3)'!$B$14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(LM-FP3)'!$C$14:$D$14</c:f>
              <c:numCache>
                <c:formatCode>0.000</c:formatCode>
                <c:ptCount val="2"/>
                <c:pt idx="0">
                  <c:v>0.27087276756690248</c:v>
                </c:pt>
                <c:pt idx="1">
                  <c:v>0.29375756185821811</c:v>
                </c:pt>
              </c:numCache>
            </c:numRef>
          </c:xVal>
          <c:yVal>
            <c:numRef>
              <c:f>'03_Anti-Roll Bars (LM-FP3)'!$C$31:$D$31</c:f>
              <c:numCache>
                <c:formatCode>0.0%</c:formatCode>
                <c:ptCount val="2"/>
                <c:pt idx="0">
                  <c:v>0.54528513136439838</c:v>
                </c:pt>
                <c:pt idx="1">
                  <c:v>0.50686836350914255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917-49BB-9C4A-CD1A41D3AD72}"/>
            </c:ext>
          </c:extLst>
        </c:ser>
        <c:ser>
          <c:idx val="21"/>
          <c:order val="21"/>
          <c:tx>
            <c:strRef>
              <c:f>'03_Anti-Roll Bars (LM-FP3)'!$B$14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(LM-FP3)'!$D$14:$F$14</c:f>
              <c:numCache>
                <c:formatCode>0.000</c:formatCode>
                <c:ptCount val="3"/>
                <c:pt idx="0">
                  <c:v>0.29375756185821811</c:v>
                </c:pt>
                <c:pt idx="1">
                  <c:v>0.30338895705642099</c:v>
                </c:pt>
                <c:pt idx="2">
                  <c:v>0.31363045934614814</c:v>
                </c:pt>
              </c:numCache>
            </c:numRef>
          </c:xVal>
          <c:yVal>
            <c:numRef>
              <c:f>'03_Anti-Roll Bars (LM-FP3)'!$D$31:$F$31</c:f>
              <c:numCache>
                <c:formatCode>0.0%</c:formatCode>
                <c:ptCount val="3"/>
                <c:pt idx="0">
                  <c:v>0.50686836350914255</c:v>
                </c:pt>
                <c:pt idx="1">
                  <c:v>0.49070011358993776</c:v>
                </c:pt>
                <c:pt idx="2">
                  <c:v>0.47350767519852849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917-49BB-9C4A-CD1A41D3AD72}"/>
            </c:ext>
          </c:extLst>
        </c:ser>
        <c:ser>
          <c:idx val="22"/>
          <c:order val="22"/>
          <c:tx>
            <c:strRef>
              <c:f>'03_Anti-Roll Bars (LM-FP3)'!$B$14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(LM-FP3)'!$F$14:$G$14</c:f>
              <c:numCache>
                <c:formatCode>0.000</c:formatCode>
                <c:ptCount val="2"/>
                <c:pt idx="0">
                  <c:v>0.31363045934614814</c:v>
                </c:pt>
              </c:numCache>
            </c:numRef>
          </c:xVal>
          <c:yVal>
            <c:numRef>
              <c:f>'03_Anti-Roll Bars (LM-FP3)'!$F$31:$G$31</c:f>
              <c:numCache>
                <c:formatCode>0.0%</c:formatCode>
                <c:ptCount val="2"/>
                <c:pt idx="0">
                  <c:v>0.47350767519852849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917-49BB-9C4A-CD1A41D3AD72}"/>
            </c:ext>
          </c:extLst>
        </c:ser>
        <c:ser>
          <c:idx val="23"/>
          <c:order val="23"/>
          <c:tx>
            <c:strRef>
              <c:f>'03_Anti-Roll Bars (LM-FP3)'!$B$14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(LM-FP3)'!$G$14:$H$14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917-49BB-9C4A-CD1A41D3AD72}"/>
            </c:ext>
          </c:extLst>
        </c:ser>
        <c:ser>
          <c:idx val="24"/>
          <c:order val="24"/>
          <c:tx>
            <c:strRef>
              <c:f>'03_Anti-Roll Bars (LM-FP3)'!$B$15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917-49BB-9C4A-CD1A41D3AD72}"/>
            </c:ext>
          </c:extLst>
        </c:ser>
        <c:ser>
          <c:idx val="25"/>
          <c:order val="25"/>
          <c:tx>
            <c:strRef>
              <c:f>'03_Anti-Roll Bars (LM-FP3)'!$B$15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(LM-FP3)'!$D$32:$F$32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917-49BB-9C4A-CD1A41D3AD72}"/>
            </c:ext>
          </c:extLst>
        </c:ser>
        <c:ser>
          <c:idx val="26"/>
          <c:order val="26"/>
          <c:tx>
            <c:strRef>
              <c:f>'03_Anti-Roll Bars (LM-FP3)'!$B$15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917-49BB-9C4A-CD1A41D3AD72}"/>
            </c:ext>
          </c:extLst>
        </c:ser>
        <c:ser>
          <c:idx val="27"/>
          <c:order val="27"/>
          <c:tx>
            <c:strRef>
              <c:f>'03_Anti-Roll Bars (LM-FP3)'!$B$15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917-49BB-9C4A-CD1A41D3AD72}"/>
            </c:ext>
          </c:extLst>
        </c:ser>
        <c:ser>
          <c:idx val="28"/>
          <c:order val="28"/>
          <c:tx>
            <c:strRef>
              <c:f>'03_Anti-Roll Bars (LM-FP3)'!$B$16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(LM-FP3)'!$C$16:$D$16</c:f>
              <c:numCache>
                <c:formatCode>0.000</c:formatCode>
                <c:ptCount val="2"/>
                <c:pt idx="0">
                  <c:v>0.27454435925117426</c:v>
                </c:pt>
                <c:pt idx="1">
                  <c:v>0.29808070309586598</c:v>
                </c:pt>
              </c:numCache>
            </c:numRef>
          </c:xVal>
          <c:yVal>
            <c:numRef>
              <c:f>'03_Anti-Roll Bars (LM-FP3)'!$C$33:$D$33</c:f>
              <c:numCache>
                <c:formatCode>0.0%</c:formatCode>
                <c:ptCount val="2"/>
                <c:pt idx="0">
                  <c:v>0.55267629280103159</c:v>
                </c:pt>
                <c:pt idx="1">
                  <c:v>0.5143277919932443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917-49BB-9C4A-CD1A41D3AD72}"/>
            </c:ext>
          </c:extLst>
        </c:ser>
        <c:ser>
          <c:idx val="29"/>
          <c:order val="29"/>
          <c:tx>
            <c:strRef>
              <c:f>'03_Anti-Roll Bars (LM-FP3)'!$B$16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(LM-FP3)'!$D$16:$F$16</c:f>
              <c:numCache>
                <c:formatCode>0.000</c:formatCode>
                <c:ptCount val="3"/>
                <c:pt idx="0">
                  <c:v>0.29808070309586598</c:v>
                </c:pt>
                <c:pt idx="1">
                  <c:v>0.30800245632785533</c:v>
                </c:pt>
                <c:pt idx="2">
                  <c:v>0.31856322381529401</c:v>
                </c:pt>
              </c:numCache>
            </c:numRef>
          </c:xVal>
          <c:yVal>
            <c:numRef>
              <c:f>'03_Anti-Roll Bars (LM-FP3)'!$D$33:$F$33</c:f>
              <c:numCache>
                <c:formatCode>0.0%</c:formatCode>
                <c:ptCount val="3"/>
                <c:pt idx="0">
                  <c:v>0.5143277919932443</c:v>
                </c:pt>
                <c:pt idx="1">
                  <c:v>0.49816196928338335</c:v>
                </c:pt>
                <c:pt idx="2">
                  <c:v>0.48095498067056891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917-49BB-9C4A-CD1A41D3AD72}"/>
            </c:ext>
          </c:extLst>
        </c:ser>
        <c:ser>
          <c:idx val="30"/>
          <c:order val="30"/>
          <c:tx>
            <c:strRef>
              <c:f>'03_Anti-Roll Bars (LM-FP3)'!$B$16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(LM-FP3)'!$F$16:$G$16</c:f>
              <c:numCache>
                <c:formatCode>0.000</c:formatCode>
                <c:ptCount val="2"/>
                <c:pt idx="0">
                  <c:v>0.31856322381529401</c:v>
                </c:pt>
              </c:numCache>
            </c:numRef>
          </c:xVal>
          <c:yVal>
            <c:numRef>
              <c:f>'03_Anti-Roll Bars (LM-FP3)'!$F$33:$G$33</c:f>
              <c:numCache>
                <c:formatCode>0.0%</c:formatCode>
                <c:ptCount val="2"/>
                <c:pt idx="0">
                  <c:v>0.48095498067056891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917-49BB-9C4A-CD1A41D3AD72}"/>
            </c:ext>
          </c:extLst>
        </c:ser>
        <c:ser>
          <c:idx val="31"/>
          <c:order val="31"/>
          <c:tx>
            <c:strRef>
              <c:f>'03_Anti-Roll Bars (LM-FP3)'!$B$16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917-49BB-9C4A-CD1A41D3AD72}"/>
            </c:ext>
          </c:extLst>
        </c:ser>
        <c:ser>
          <c:idx val="32"/>
          <c:order val="32"/>
          <c:tx>
            <c:strRef>
              <c:f>'03_Anti-Roll Bars (LM-FP3)'!$B$17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(LM-FP3)'!$C$17:$D$17</c:f>
              <c:numCache>
                <c:formatCode>0.000</c:formatCode>
                <c:ptCount val="2"/>
                <c:pt idx="0">
                  <c:v>0.27823720235487115</c:v>
                </c:pt>
                <c:pt idx="1">
                  <c:v>0.30243887757126359</c:v>
                </c:pt>
              </c:numCache>
            </c:numRef>
          </c:xVal>
          <c:yVal>
            <c:numRef>
              <c:f>'03_Anti-Roll Bars (LM-FP3)'!$C$34:$D$34</c:f>
              <c:numCache>
                <c:formatCode>0.0%</c:formatCode>
                <c:ptCount val="2"/>
                <c:pt idx="0">
                  <c:v>0.56011023477679744</c:v>
                </c:pt>
                <c:pt idx="1">
                  <c:v>0.52184766909958513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917-49BB-9C4A-CD1A41D3AD72}"/>
            </c:ext>
          </c:extLst>
        </c:ser>
        <c:ser>
          <c:idx val="33"/>
          <c:order val="33"/>
          <c:tx>
            <c:strRef>
              <c:f>'03_Anti-Roll Bars (LM-FP3)'!$B$17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(LM-FP3)'!$D$17:$F$17</c:f>
              <c:numCache>
                <c:formatCode>0.000</c:formatCode>
                <c:ptCount val="3"/>
                <c:pt idx="0">
                  <c:v>0.30243887757126359</c:v>
                </c:pt>
                <c:pt idx="1">
                  <c:v>0.31265785259503337</c:v>
                </c:pt>
                <c:pt idx="2">
                  <c:v>0.32354592339468674</c:v>
                </c:pt>
              </c:numCache>
            </c:numRef>
          </c:xVal>
          <c:yVal>
            <c:numRef>
              <c:f>'03_Anti-Roll Bars (LM-FP3)'!$D$34:$F$34</c:f>
              <c:numCache>
                <c:formatCode>0.0%</c:formatCode>
                <c:ptCount val="3"/>
                <c:pt idx="0">
                  <c:v>0.52184766909958513</c:v>
                </c:pt>
                <c:pt idx="1">
                  <c:v>0.50569158901402367</c:v>
                </c:pt>
                <c:pt idx="2">
                  <c:v>0.48847767632637251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917-49BB-9C4A-CD1A41D3AD72}"/>
            </c:ext>
          </c:extLst>
        </c:ser>
        <c:ser>
          <c:idx val="34"/>
          <c:order val="34"/>
          <c:tx>
            <c:strRef>
              <c:f>'03_Anti-Roll Bars (LM-FP3)'!$B$17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(LM-FP3)'!$F$17:$G$17</c:f>
              <c:numCache>
                <c:formatCode>0.000</c:formatCode>
                <c:ptCount val="2"/>
                <c:pt idx="0">
                  <c:v>0.32354592339468674</c:v>
                </c:pt>
              </c:numCache>
            </c:numRef>
          </c:xVal>
          <c:yVal>
            <c:numRef>
              <c:f>'03_Anti-Roll Bars (LM-FP3)'!$F$34:$G$34</c:f>
              <c:numCache>
                <c:formatCode>0.0%</c:formatCode>
                <c:ptCount val="2"/>
                <c:pt idx="0">
                  <c:v>0.48847767632637251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917-49BB-9C4A-CD1A41D3AD72}"/>
            </c:ext>
          </c:extLst>
        </c:ser>
        <c:ser>
          <c:idx val="35"/>
          <c:order val="35"/>
          <c:tx>
            <c:strRef>
              <c:f>'03_Anti-Roll Bars (LM-FP3)'!$B$17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917-49BB-9C4A-CD1A41D3AD72}"/>
            </c:ext>
          </c:extLst>
        </c:ser>
        <c:ser>
          <c:idx val="36"/>
          <c:order val="36"/>
          <c:tx>
            <c:strRef>
              <c:f>'03_Anti-Roll Bars (LM-FP3)'!$B$18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(LM-FP3)'!$C$18:$D$18</c:f>
              <c:numCache>
                <c:formatCode>0.000</c:formatCode>
                <c:ptCount val="2"/>
                <c:pt idx="0">
                  <c:v>0.28129633385984976</c:v>
                </c:pt>
                <c:pt idx="1">
                  <c:v>0.30605679390102425</c:v>
                </c:pt>
              </c:numCache>
            </c:numRef>
          </c:xVal>
          <c:yVal>
            <c:numRef>
              <c:f>'03_Anti-Roll Bars (LM-FP3)'!$C$35:$D$35</c:f>
              <c:numCache>
                <c:formatCode>0.0%</c:formatCode>
                <c:ptCount val="2"/>
                <c:pt idx="0">
                  <c:v>0.56626847260755775</c:v>
                </c:pt>
                <c:pt idx="1">
                  <c:v>0.52809025675512911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917-49BB-9C4A-CD1A41D3AD72}"/>
            </c:ext>
          </c:extLst>
        </c:ser>
        <c:ser>
          <c:idx val="37"/>
          <c:order val="37"/>
          <c:tx>
            <c:strRef>
              <c:f>'03_Anti-Roll Bars (LM-FP3)'!$B$18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(LM-FP3)'!$D$18:$F$18</c:f>
              <c:numCache>
                <c:formatCode>0.000</c:formatCode>
                <c:ptCount val="3"/>
                <c:pt idx="0">
                  <c:v>0.30605679390102425</c:v>
                </c:pt>
                <c:pt idx="1">
                  <c:v>0.31652595123199972</c:v>
                </c:pt>
                <c:pt idx="2">
                  <c:v>0.32768990550700211</c:v>
                </c:pt>
              </c:numCache>
            </c:numRef>
          </c:xVal>
          <c:yVal>
            <c:numRef>
              <c:f>'03_Anti-Roll Bars (LM-FP3)'!$D$35:$F$35</c:f>
              <c:numCache>
                <c:formatCode>0.0%</c:formatCode>
                <c:ptCount val="3"/>
                <c:pt idx="0">
                  <c:v>0.52809025675512911</c:v>
                </c:pt>
                <c:pt idx="1">
                  <c:v>0.51194783663408283</c:v>
                </c:pt>
                <c:pt idx="2">
                  <c:v>0.49473410735082568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917-49BB-9C4A-CD1A41D3AD72}"/>
            </c:ext>
          </c:extLst>
        </c:ser>
        <c:ser>
          <c:idx val="38"/>
          <c:order val="38"/>
          <c:tx>
            <c:strRef>
              <c:f>'03_Anti-Roll Bars (LM-FP3)'!$B$18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(LM-FP3)'!$F$18:$G$18</c:f>
              <c:numCache>
                <c:formatCode>0.000</c:formatCode>
                <c:ptCount val="2"/>
                <c:pt idx="0">
                  <c:v>0.32768990550700211</c:v>
                </c:pt>
              </c:numCache>
            </c:numRef>
          </c:xVal>
          <c:yVal>
            <c:numRef>
              <c:f>'03_Anti-Roll Bars (LM-FP3)'!$F$35:$G$35</c:f>
              <c:numCache>
                <c:formatCode>0.0%</c:formatCode>
                <c:ptCount val="2"/>
                <c:pt idx="0">
                  <c:v>0.49473410735082568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917-49BB-9C4A-CD1A41D3AD72}"/>
            </c:ext>
          </c:extLst>
        </c:ser>
        <c:ser>
          <c:idx val="39"/>
          <c:order val="39"/>
          <c:tx>
            <c:strRef>
              <c:f>'03_Anti-Roll Bars (LM-FP3)'!$B$18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(LM-FP3)'!$G$18:$H$18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917-49BB-9C4A-CD1A41D3AD72}"/>
            </c:ext>
          </c:extLst>
        </c:ser>
        <c:ser>
          <c:idx val="40"/>
          <c:order val="40"/>
          <c:tx>
            <c:strRef>
              <c:f>'03_Anti-Roll Bars (LM-FP3)'!$B$23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(LM-FP3)'!$C$23:$D$23</c:f>
              <c:numCache>
                <c:formatCode>0.000</c:formatCode>
                <c:ptCount val="2"/>
                <c:pt idx="0">
                  <c:v>0.31218802784074334</c:v>
                </c:pt>
                <c:pt idx="1">
                  <c:v>0.34298312745428916</c:v>
                </c:pt>
              </c:numCache>
            </c:numRef>
          </c:xVal>
          <c:yVal>
            <c:numRef>
              <c:f>'03_Anti-Roll Bars (LM-FP3)'!$C$40:$D$40</c:f>
              <c:numCache>
                <c:formatCode>0.0%</c:formatCode>
                <c:ptCount val="2"/>
                <c:pt idx="0">
                  <c:v>0.58945174132420897</c:v>
                </c:pt>
                <c:pt idx="1">
                  <c:v>0.5516986418925125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917-49BB-9C4A-CD1A41D3AD72}"/>
            </c:ext>
          </c:extLst>
        </c:ser>
        <c:ser>
          <c:idx val="41"/>
          <c:order val="41"/>
          <c:tx>
            <c:strRef>
              <c:f>'03_Anti-Roll Bars (LM-FP3)'!$B$23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(LM-FP3)'!$D$23:$F$23</c:f>
              <c:numCache>
                <c:formatCode>0.000</c:formatCode>
                <c:ptCount val="3"/>
                <c:pt idx="0">
                  <c:v>0.34298312745428916</c:v>
                </c:pt>
                <c:pt idx="1">
                  <c:v>0.35618541752861865</c:v>
                </c:pt>
                <c:pt idx="2">
                  <c:v>0.37038498688177762</c:v>
                </c:pt>
              </c:numCache>
            </c:numRef>
          </c:xVal>
          <c:yVal>
            <c:numRef>
              <c:f>'03_Anti-Roll Bars (LM-FP3)'!$D$40:$F$40</c:f>
              <c:numCache>
                <c:formatCode>0.0%</c:formatCode>
                <c:ptCount val="3"/>
                <c:pt idx="0">
                  <c:v>0.5516986418925125</c:v>
                </c:pt>
                <c:pt idx="1">
                  <c:v>0.53565369982424804</c:v>
                </c:pt>
                <c:pt idx="2">
                  <c:v>0.51848968102807824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917-49BB-9C4A-CD1A41D3AD72}"/>
            </c:ext>
          </c:extLst>
        </c:ser>
        <c:ser>
          <c:idx val="42"/>
          <c:order val="42"/>
          <c:tx>
            <c:strRef>
              <c:f>'03_Anti-Roll Bars (LM-FP3)'!$B$23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(LM-FP3)'!$F$23:$G$23</c:f>
              <c:numCache>
                <c:formatCode>0.000</c:formatCode>
                <c:ptCount val="2"/>
                <c:pt idx="0">
                  <c:v>0.37038498688177762</c:v>
                </c:pt>
              </c:numCache>
            </c:numRef>
          </c:xVal>
          <c:yVal>
            <c:numRef>
              <c:f>'03_Anti-Roll Bars (LM-FP3)'!$F$40:$G$40</c:f>
              <c:numCache>
                <c:formatCode>0.0%</c:formatCode>
                <c:ptCount val="2"/>
                <c:pt idx="0">
                  <c:v>0.51848968102807824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917-49BB-9C4A-CD1A41D3AD72}"/>
            </c:ext>
          </c:extLst>
        </c:ser>
        <c:ser>
          <c:idx val="43"/>
          <c:order val="43"/>
          <c:tx>
            <c:strRef>
              <c:f>'03_Anti-Roll Bars (LM-FP3)'!$B$23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917-49BB-9C4A-CD1A41D3AD72}"/>
            </c:ext>
          </c:extLst>
        </c:ser>
        <c:ser>
          <c:idx val="44"/>
          <c:order val="44"/>
          <c:tx>
            <c:strRef>
              <c:f>'03_Anti-Roll Bars (LM-FP3)'!$B$19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917-49BB-9C4A-CD1A41D3AD72}"/>
            </c:ext>
          </c:extLst>
        </c:ser>
        <c:ser>
          <c:idx val="45"/>
          <c:order val="45"/>
          <c:tx>
            <c:strRef>
              <c:f>'03_Anti-Roll Bars (LM-FP3)'!$B$19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(LM-FP3)'!$D$36:$F$36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917-49BB-9C4A-CD1A41D3AD72}"/>
            </c:ext>
          </c:extLst>
        </c:ser>
        <c:ser>
          <c:idx val="46"/>
          <c:order val="46"/>
          <c:tx>
            <c:strRef>
              <c:f>'03_Anti-Roll Bars (LM-FP3)'!$B$19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917-49BB-9C4A-CD1A41D3AD72}"/>
            </c:ext>
          </c:extLst>
        </c:ser>
        <c:ser>
          <c:idx val="47"/>
          <c:order val="47"/>
          <c:tx>
            <c:strRef>
              <c:f>'03_Anti-Roll Bars (LM-FP3)'!$B$19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917-49BB-9C4A-CD1A41D3AD72}"/>
            </c:ext>
          </c:extLst>
        </c:ser>
        <c:ser>
          <c:idx val="48"/>
          <c:order val="48"/>
          <c:tx>
            <c:strRef>
              <c:f>'03_Anti-Roll Bars (LM-FP3)'!$B$20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(LM-FP3)'!$C$20:$D$20</c:f>
              <c:numCache>
                <c:formatCode>0.000</c:formatCode>
                <c:ptCount val="2"/>
                <c:pt idx="0">
                  <c:v>0.28601327441660562</c:v>
                </c:pt>
                <c:pt idx="1">
                  <c:v>0.31164893096113011</c:v>
                </c:pt>
              </c:numCache>
            </c:numRef>
          </c:xVal>
          <c:yVal>
            <c:numRef>
              <c:f>'03_Anti-Roll Bars (LM-FP3)'!$C$37:$D$37</c:f>
              <c:numCache>
                <c:formatCode>0.0%</c:formatCode>
                <c:ptCount val="2"/>
                <c:pt idx="0">
                  <c:v>0.57576399175565152</c:v>
                </c:pt>
                <c:pt idx="1">
                  <c:v>0.53773929299523349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917-49BB-9C4A-CD1A41D3AD72}"/>
            </c:ext>
          </c:extLst>
        </c:ser>
        <c:ser>
          <c:idx val="49"/>
          <c:order val="49"/>
          <c:tx>
            <c:strRef>
              <c:f>'03_Anti-Roll Bars (LM-FP3)'!$B$20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(LM-FP3)'!$D$20:$F$20</c:f>
              <c:numCache>
                <c:formatCode>0.000</c:formatCode>
                <c:ptCount val="3"/>
                <c:pt idx="0">
                  <c:v>0.31164893096113011</c:v>
                </c:pt>
                <c:pt idx="1">
                  <c:v>0.32251094807650627</c:v>
                </c:pt>
                <c:pt idx="2">
                  <c:v>0.33410881328581937</c:v>
                </c:pt>
              </c:numCache>
            </c:numRef>
          </c:xVal>
          <c:yVal>
            <c:numRef>
              <c:f>'03_Anti-Roll Bars (LM-FP3)'!$D$37:$F$37</c:f>
              <c:numCache>
                <c:formatCode>0.0%</c:formatCode>
                <c:ptCount val="3"/>
                <c:pt idx="0">
                  <c:v>0.53773929299523349</c:v>
                </c:pt>
                <c:pt idx="1">
                  <c:v>0.5216279471428138</c:v>
                </c:pt>
                <c:pt idx="2">
                  <c:v>0.50442513706139025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917-49BB-9C4A-CD1A41D3AD72}"/>
            </c:ext>
          </c:extLst>
        </c:ser>
        <c:ser>
          <c:idx val="50"/>
          <c:order val="50"/>
          <c:tx>
            <c:strRef>
              <c:f>'03_Anti-Roll Bars (LM-FP3)'!$B$20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(LM-FP3)'!$F$20:$G$20</c:f>
              <c:numCache>
                <c:formatCode>0.000</c:formatCode>
                <c:ptCount val="2"/>
                <c:pt idx="0">
                  <c:v>0.33410881328581937</c:v>
                </c:pt>
              </c:numCache>
            </c:numRef>
          </c:xVal>
          <c:yVal>
            <c:numRef>
              <c:f>'03_Anti-Roll Bars (LM-FP3)'!$F$37:$G$37</c:f>
              <c:numCache>
                <c:formatCode>0.0%</c:formatCode>
                <c:ptCount val="2"/>
                <c:pt idx="0">
                  <c:v>0.50442513706139025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917-49BB-9C4A-CD1A41D3AD72}"/>
            </c:ext>
          </c:extLst>
        </c:ser>
        <c:ser>
          <c:idx val="51"/>
          <c:order val="51"/>
          <c:tx>
            <c:strRef>
              <c:f>'03_Anti-Roll Bars (LM-FP3)'!$B$20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917-49BB-9C4A-CD1A41D3AD72}"/>
            </c:ext>
          </c:extLst>
        </c:ser>
        <c:ser>
          <c:idx val="52"/>
          <c:order val="52"/>
          <c:tx>
            <c:strRef>
              <c:f>'03_Anti-Roll Bars (LM-FP3)'!$B$21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(LM-FP3)'!$C$21:$D$21</c:f>
              <c:numCache>
                <c:formatCode>0.000</c:formatCode>
                <c:ptCount val="2"/>
                <c:pt idx="0">
                  <c:v>0.28833893400991101</c:v>
                </c:pt>
                <c:pt idx="1">
                  <c:v>0.31441219055597558</c:v>
                </c:pt>
              </c:numCache>
            </c:numRef>
          </c:xVal>
          <c:yVal>
            <c:numRef>
              <c:f>'03_Anti-Roll Bars (LM-FP3)'!$C$38:$D$38</c:f>
              <c:numCache>
                <c:formatCode>0.0%</c:formatCode>
                <c:ptCount val="2"/>
                <c:pt idx="0">
                  <c:v>0.58044570121000327</c:v>
                </c:pt>
                <c:pt idx="1">
                  <c:v>0.54250720044902112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917-49BB-9C4A-CD1A41D3AD72}"/>
            </c:ext>
          </c:extLst>
        </c:ser>
        <c:ser>
          <c:idx val="53"/>
          <c:order val="53"/>
          <c:tx>
            <c:strRef>
              <c:f>'03_Anti-Roll Bars (LM-FP3)'!$B$21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(LM-FP3)'!$D$21:$F$21</c:f>
              <c:numCache>
                <c:formatCode>0.000</c:formatCode>
                <c:ptCount val="3"/>
                <c:pt idx="0">
                  <c:v>0.31441219055597558</c:v>
                </c:pt>
                <c:pt idx="1">
                  <c:v>0.32547109698448407</c:v>
                </c:pt>
                <c:pt idx="2">
                  <c:v>0.33728673993101382</c:v>
                </c:pt>
              </c:numCache>
            </c:numRef>
          </c:xVal>
          <c:yVal>
            <c:numRef>
              <c:f>'03_Anti-Roll Bars (LM-FP3)'!$D$38:$F$38</c:f>
              <c:numCache>
                <c:formatCode>0.0%</c:formatCode>
                <c:ptCount val="3"/>
                <c:pt idx="0">
                  <c:v>0.54250720044902112</c:v>
                </c:pt>
                <c:pt idx="1">
                  <c:v>0.52641568041920239</c:v>
                </c:pt>
                <c:pt idx="2">
                  <c:v>0.50922305324865913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917-49BB-9C4A-CD1A41D3AD72}"/>
            </c:ext>
          </c:extLst>
        </c:ser>
        <c:ser>
          <c:idx val="54"/>
          <c:order val="54"/>
          <c:tx>
            <c:strRef>
              <c:f>'03_Anti-Roll Bars (LM-FP3)'!$B$21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(LM-FP3)'!$F$21:$G$21</c:f>
              <c:numCache>
                <c:formatCode>0.000</c:formatCode>
                <c:ptCount val="2"/>
                <c:pt idx="0">
                  <c:v>0.33728673993101382</c:v>
                </c:pt>
              </c:numCache>
            </c:numRef>
          </c:xVal>
          <c:yVal>
            <c:numRef>
              <c:f>'03_Anti-Roll Bars (LM-FP3)'!$F$38:$G$38</c:f>
              <c:numCache>
                <c:formatCode>0.0%</c:formatCode>
                <c:ptCount val="2"/>
                <c:pt idx="0">
                  <c:v>0.50922305324865913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917-49BB-9C4A-CD1A41D3AD72}"/>
            </c:ext>
          </c:extLst>
        </c:ser>
        <c:ser>
          <c:idx val="55"/>
          <c:order val="55"/>
          <c:tx>
            <c:strRef>
              <c:f>'03_Anti-Roll Bars (LM-FP3)'!$B$21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917-49BB-9C4A-CD1A41D3AD72}"/>
            </c:ext>
          </c:extLst>
        </c:ser>
        <c:ser>
          <c:idx val="56"/>
          <c:order val="56"/>
          <c:tx>
            <c:strRef>
              <c:f>'03_Anti-Roll Bars (LM-FP3)'!$B$22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(LM-FP3)'!$C$22:$D$22</c:f>
              <c:numCache>
                <c:formatCode>0.000</c:formatCode>
                <c:ptCount val="2"/>
                <c:pt idx="0">
                  <c:v>0.29089110576249011</c:v>
                </c:pt>
                <c:pt idx="1">
                  <c:v>0.31744922568232659</c:v>
                </c:pt>
              </c:numCache>
            </c:numRef>
          </c:xVal>
          <c:yVal>
            <c:numRef>
              <c:f>'03_Anti-Roll Bars (LM-FP3)'!$C$39:$D$39</c:f>
              <c:numCache>
                <c:formatCode>0.0%</c:formatCode>
                <c:ptCount val="2"/>
                <c:pt idx="0">
                  <c:v>0.58558339490239664</c:v>
                </c:pt>
                <c:pt idx="1">
                  <c:v>0.5477474979742174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917-49BB-9C4A-CD1A41D3AD72}"/>
            </c:ext>
          </c:extLst>
        </c:ser>
        <c:ser>
          <c:idx val="57"/>
          <c:order val="57"/>
          <c:tx>
            <c:strRef>
              <c:f>'03_Anti-Roll Bars (LM-FP3)'!$B$22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(LM-FP3)'!$D$22:$F$22</c:f>
              <c:numCache>
                <c:formatCode>0.000</c:formatCode>
                <c:ptCount val="3"/>
                <c:pt idx="0">
                  <c:v>0.31744922568232659</c:v>
                </c:pt>
                <c:pt idx="1">
                  <c:v>0.32872664043062355</c:v>
                </c:pt>
                <c:pt idx="2">
                  <c:v>0.34078421725405933</c:v>
                </c:pt>
              </c:numCache>
            </c:numRef>
          </c:xVal>
          <c:yVal>
            <c:numRef>
              <c:f>'03_Anti-Roll Bars (LM-FP3)'!$D$39:$F$39</c:f>
              <c:numCache>
                <c:formatCode>0.0%</c:formatCode>
                <c:ptCount val="3"/>
                <c:pt idx="0">
                  <c:v>0.5477474979742174</c:v>
                </c:pt>
                <c:pt idx="1">
                  <c:v>0.53168118366730011</c:v>
                </c:pt>
                <c:pt idx="2">
                  <c:v>0.51450341523820387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917-49BB-9C4A-CD1A41D3AD72}"/>
            </c:ext>
          </c:extLst>
        </c:ser>
        <c:ser>
          <c:idx val="58"/>
          <c:order val="58"/>
          <c:tx>
            <c:strRef>
              <c:f>'03_Anti-Roll Bars (LM-FP3)'!$B$22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(LM-FP3)'!$F$22:$G$22</c:f>
              <c:numCache>
                <c:formatCode>0.000</c:formatCode>
                <c:ptCount val="2"/>
                <c:pt idx="0">
                  <c:v>0.34078421725405933</c:v>
                </c:pt>
              </c:numCache>
            </c:numRef>
          </c:xVal>
          <c:yVal>
            <c:numRef>
              <c:f>'03_Anti-Roll Bars (LM-FP3)'!$F$39:$G$39</c:f>
              <c:numCache>
                <c:formatCode>0.0%</c:formatCode>
                <c:ptCount val="2"/>
                <c:pt idx="0">
                  <c:v>0.51450341523820387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917-49BB-9C4A-CD1A41D3AD72}"/>
            </c:ext>
          </c:extLst>
        </c:ser>
        <c:ser>
          <c:idx val="59"/>
          <c:order val="59"/>
          <c:tx>
            <c:strRef>
              <c:f>'03_Anti-Roll Bars (LM-FP3)'!$B$22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917-49BB-9C4A-CD1A41D3A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(LM-FP1)'!$C$2:$H$2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80-416D-BAF8-AB57AC37FD39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(LM-FP1)'!$B$9:$B$23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80-416D-BAF8-AB57AC37F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6D-4896-9210-1DEEA2D8DEF1}"/>
            </c:ext>
          </c:extLst>
        </c:ser>
        <c:ser>
          <c:idx val="1"/>
          <c:order val="1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6D-4896-9210-1DEEA2D8DEF1}"/>
            </c:ext>
          </c:extLst>
        </c:ser>
        <c:ser>
          <c:idx val="2"/>
          <c:order val="2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6D-4896-9210-1DEEA2D8DEF1}"/>
            </c:ext>
          </c:extLst>
        </c:ser>
        <c:ser>
          <c:idx val="3"/>
          <c:order val="3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6D-4896-9210-1DEEA2D8DEF1}"/>
            </c:ext>
          </c:extLst>
        </c:ser>
        <c:ser>
          <c:idx val="4"/>
          <c:order val="4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(LM-FP1)'!$C$27:$D$27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6D-4896-9210-1DEEA2D8DEF1}"/>
            </c:ext>
          </c:extLst>
        </c:ser>
        <c:ser>
          <c:idx val="5"/>
          <c:order val="5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(LM-FP1)'!$D$27:$F$27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6D-4896-9210-1DEEA2D8DEF1}"/>
            </c:ext>
          </c:extLst>
        </c:ser>
        <c:ser>
          <c:idx val="6"/>
          <c:order val="6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(LM-FP1)'!$F$27:$G$27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6D-4896-9210-1DEEA2D8DEF1}"/>
            </c:ext>
          </c:extLst>
        </c:ser>
        <c:ser>
          <c:idx val="7"/>
          <c:order val="7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6D-4896-9210-1DEEA2D8DEF1}"/>
            </c:ext>
          </c:extLst>
        </c:ser>
        <c:ser>
          <c:idx val="8"/>
          <c:order val="8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(LM-FP1)'!$C$11:$D$11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46D-4896-9210-1DEEA2D8DEF1}"/>
            </c:ext>
          </c:extLst>
        </c:ser>
        <c:ser>
          <c:idx val="9"/>
          <c:order val="9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(LM-FP1)'!$D$11:$F$11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46D-4896-9210-1DEEA2D8DEF1}"/>
            </c:ext>
          </c:extLst>
        </c:ser>
        <c:ser>
          <c:idx val="10"/>
          <c:order val="10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(LM-FP1)'!$F$11:$G$11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46D-4896-9210-1DEEA2D8DEF1}"/>
            </c:ext>
          </c:extLst>
        </c:ser>
        <c:ser>
          <c:idx val="11"/>
          <c:order val="11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(LM-FP1)'!$G$11:$H$11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46D-4896-9210-1DEEA2D8DEF1}"/>
            </c:ext>
          </c:extLst>
        </c:ser>
        <c:ser>
          <c:idx val="12"/>
          <c:order val="12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(LM-FP1)'!$C$12:$D$12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(LM-FP1)'!$C$29:$D$29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46D-4896-9210-1DEEA2D8DEF1}"/>
            </c:ext>
          </c:extLst>
        </c:ser>
        <c:ser>
          <c:idx val="13"/>
          <c:order val="13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(LM-FP1)'!$D$12:$F$12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(LM-FP1)'!$D$29:$F$29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46D-4896-9210-1DEEA2D8DEF1}"/>
            </c:ext>
          </c:extLst>
        </c:ser>
        <c:ser>
          <c:idx val="14"/>
          <c:order val="14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(LM-FP1)'!$F$12:$G$12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(LM-FP1)'!$F$29:$G$29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46D-4896-9210-1DEEA2D8DEF1}"/>
            </c:ext>
          </c:extLst>
        </c:ser>
        <c:ser>
          <c:idx val="15"/>
          <c:order val="15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(LM-FP1)'!$G$12:$H$12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46D-4896-9210-1DEEA2D8DEF1}"/>
            </c:ext>
          </c:extLst>
        </c:ser>
        <c:ser>
          <c:idx val="16"/>
          <c:order val="16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(LM-FP1)'!$C$30:$D$30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46D-4896-9210-1DEEA2D8DEF1}"/>
            </c:ext>
          </c:extLst>
        </c:ser>
        <c:ser>
          <c:idx val="17"/>
          <c:order val="17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(LM-FP1)'!$D$30:$F$30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46D-4896-9210-1DEEA2D8DEF1}"/>
            </c:ext>
          </c:extLst>
        </c:ser>
        <c:ser>
          <c:idx val="18"/>
          <c:order val="18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(LM-FP1)'!$F$30:$G$30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46D-4896-9210-1DEEA2D8DEF1}"/>
            </c:ext>
          </c:extLst>
        </c:ser>
        <c:ser>
          <c:idx val="19"/>
          <c:order val="19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46D-4896-9210-1DEEA2D8DEF1}"/>
            </c:ext>
          </c:extLst>
        </c:ser>
        <c:ser>
          <c:idx val="20"/>
          <c:order val="20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(LM-FP1)'!$C$14:$D$14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(LM-FP1)'!$C$31:$D$31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46D-4896-9210-1DEEA2D8DEF1}"/>
            </c:ext>
          </c:extLst>
        </c:ser>
        <c:ser>
          <c:idx val="21"/>
          <c:order val="21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(LM-FP1)'!$D$14:$F$14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(LM-FP1)'!$D$31:$F$31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46D-4896-9210-1DEEA2D8DEF1}"/>
            </c:ext>
          </c:extLst>
        </c:ser>
        <c:ser>
          <c:idx val="22"/>
          <c:order val="22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(LM-FP1)'!$F$14:$G$14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(LM-FP1)'!$F$31:$G$31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46D-4896-9210-1DEEA2D8DEF1}"/>
            </c:ext>
          </c:extLst>
        </c:ser>
        <c:ser>
          <c:idx val="23"/>
          <c:order val="23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(LM-FP1)'!$G$14:$H$14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46D-4896-9210-1DEEA2D8DEF1}"/>
            </c:ext>
          </c:extLst>
        </c:ser>
        <c:ser>
          <c:idx val="24"/>
          <c:order val="24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46D-4896-9210-1DEEA2D8DEF1}"/>
            </c:ext>
          </c:extLst>
        </c:ser>
        <c:ser>
          <c:idx val="25"/>
          <c:order val="25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46D-4896-9210-1DEEA2D8DEF1}"/>
            </c:ext>
          </c:extLst>
        </c:ser>
        <c:ser>
          <c:idx val="26"/>
          <c:order val="26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46D-4896-9210-1DEEA2D8DEF1}"/>
            </c:ext>
          </c:extLst>
        </c:ser>
        <c:ser>
          <c:idx val="27"/>
          <c:order val="27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46D-4896-9210-1DEEA2D8DEF1}"/>
            </c:ext>
          </c:extLst>
        </c:ser>
        <c:ser>
          <c:idx val="28"/>
          <c:order val="28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(LM-FP1)'!$C$33:$D$33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46D-4896-9210-1DEEA2D8DEF1}"/>
            </c:ext>
          </c:extLst>
        </c:ser>
        <c:ser>
          <c:idx val="29"/>
          <c:order val="29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(LM-FP1)'!$D$33:$F$33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46D-4896-9210-1DEEA2D8DEF1}"/>
            </c:ext>
          </c:extLst>
        </c:ser>
        <c:ser>
          <c:idx val="30"/>
          <c:order val="30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(LM-FP1)'!$F$33:$G$33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46D-4896-9210-1DEEA2D8DEF1}"/>
            </c:ext>
          </c:extLst>
        </c:ser>
        <c:ser>
          <c:idx val="31"/>
          <c:order val="31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46D-4896-9210-1DEEA2D8DEF1}"/>
            </c:ext>
          </c:extLst>
        </c:ser>
        <c:ser>
          <c:idx val="32"/>
          <c:order val="32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(LM-FP1)'!$C$34:$D$34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46D-4896-9210-1DEEA2D8DEF1}"/>
            </c:ext>
          </c:extLst>
        </c:ser>
        <c:ser>
          <c:idx val="33"/>
          <c:order val="33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(LM-FP1)'!$D$34:$F$34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46D-4896-9210-1DEEA2D8DEF1}"/>
            </c:ext>
          </c:extLst>
        </c:ser>
        <c:ser>
          <c:idx val="34"/>
          <c:order val="34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(LM-FP1)'!$F$34:$G$34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46D-4896-9210-1DEEA2D8DEF1}"/>
            </c:ext>
          </c:extLst>
        </c:ser>
        <c:ser>
          <c:idx val="35"/>
          <c:order val="35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46D-4896-9210-1DEEA2D8DEF1}"/>
            </c:ext>
          </c:extLst>
        </c:ser>
        <c:ser>
          <c:idx val="36"/>
          <c:order val="36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(LM-FP1)'!$C$18:$D$18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(LM-FP1)'!$C$35:$D$35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46D-4896-9210-1DEEA2D8DEF1}"/>
            </c:ext>
          </c:extLst>
        </c:ser>
        <c:ser>
          <c:idx val="37"/>
          <c:order val="37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(LM-FP1)'!$D$18:$F$18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(LM-FP1)'!$D$35:$F$35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46D-4896-9210-1DEEA2D8DEF1}"/>
            </c:ext>
          </c:extLst>
        </c:ser>
        <c:ser>
          <c:idx val="38"/>
          <c:order val="38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(LM-FP1)'!$F$18:$G$18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(LM-FP1)'!$F$35:$G$35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46D-4896-9210-1DEEA2D8DEF1}"/>
            </c:ext>
          </c:extLst>
        </c:ser>
        <c:ser>
          <c:idx val="39"/>
          <c:order val="39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(LM-FP1)'!$G$18:$H$18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46D-4896-9210-1DEEA2D8DEF1}"/>
            </c:ext>
          </c:extLst>
        </c:ser>
        <c:ser>
          <c:idx val="40"/>
          <c:order val="40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(LM-FP1)'!$C$40:$D$40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46D-4896-9210-1DEEA2D8DEF1}"/>
            </c:ext>
          </c:extLst>
        </c:ser>
        <c:ser>
          <c:idx val="41"/>
          <c:order val="41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(LM-FP1)'!$D$40:$F$40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46D-4896-9210-1DEEA2D8DEF1}"/>
            </c:ext>
          </c:extLst>
        </c:ser>
        <c:ser>
          <c:idx val="42"/>
          <c:order val="42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(LM-FP1)'!$F$40:$G$40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46D-4896-9210-1DEEA2D8DEF1}"/>
            </c:ext>
          </c:extLst>
        </c:ser>
        <c:ser>
          <c:idx val="43"/>
          <c:order val="43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46D-4896-9210-1DEEA2D8DEF1}"/>
            </c:ext>
          </c:extLst>
        </c:ser>
        <c:ser>
          <c:idx val="44"/>
          <c:order val="44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46D-4896-9210-1DEEA2D8DEF1}"/>
            </c:ext>
          </c:extLst>
        </c:ser>
        <c:ser>
          <c:idx val="45"/>
          <c:order val="45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46D-4896-9210-1DEEA2D8DEF1}"/>
            </c:ext>
          </c:extLst>
        </c:ser>
        <c:ser>
          <c:idx val="46"/>
          <c:order val="46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46D-4896-9210-1DEEA2D8DEF1}"/>
            </c:ext>
          </c:extLst>
        </c:ser>
        <c:ser>
          <c:idx val="47"/>
          <c:order val="47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46D-4896-9210-1DEEA2D8DEF1}"/>
            </c:ext>
          </c:extLst>
        </c:ser>
        <c:ser>
          <c:idx val="48"/>
          <c:order val="48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(LM-FP1)'!$C$37:$D$37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46D-4896-9210-1DEEA2D8DEF1}"/>
            </c:ext>
          </c:extLst>
        </c:ser>
        <c:ser>
          <c:idx val="49"/>
          <c:order val="49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(LM-FP1)'!$D$37:$F$37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46D-4896-9210-1DEEA2D8DEF1}"/>
            </c:ext>
          </c:extLst>
        </c:ser>
        <c:ser>
          <c:idx val="50"/>
          <c:order val="50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(LM-FP1)'!$F$37:$G$37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46D-4896-9210-1DEEA2D8DEF1}"/>
            </c:ext>
          </c:extLst>
        </c:ser>
        <c:ser>
          <c:idx val="51"/>
          <c:order val="51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46D-4896-9210-1DEEA2D8DEF1}"/>
            </c:ext>
          </c:extLst>
        </c:ser>
        <c:ser>
          <c:idx val="52"/>
          <c:order val="52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(LM-FP1)'!$C$38:$D$38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46D-4896-9210-1DEEA2D8DEF1}"/>
            </c:ext>
          </c:extLst>
        </c:ser>
        <c:ser>
          <c:idx val="53"/>
          <c:order val="53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(LM-FP1)'!$D$38:$F$38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46D-4896-9210-1DEEA2D8DEF1}"/>
            </c:ext>
          </c:extLst>
        </c:ser>
        <c:ser>
          <c:idx val="54"/>
          <c:order val="54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(LM-FP1)'!$F$38:$G$38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46D-4896-9210-1DEEA2D8DEF1}"/>
            </c:ext>
          </c:extLst>
        </c:ser>
        <c:ser>
          <c:idx val="55"/>
          <c:order val="55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46D-4896-9210-1DEEA2D8DEF1}"/>
            </c:ext>
          </c:extLst>
        </c:ser>
        <c:ser>
          <c:idx val="56"/>
          <c:order val="56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(LM-FP1)'!$C$39:$D$39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46D-4896-9210-1DEEA2D8DEF1}"/>
            </c:ext>
          </c:extLst>
        </c:ser>
        <c:ser>
          <c:idx val="57"/>
          <c:order val="57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(LM-FP1)'!$D$39:$F$39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46D-4896-9210-1DEEA2D8DEF1}"/>
            </c:ext>
          </c:extLst>
        </c:ser>
        <c:ser>
          <c:idx val="58"/>
          <c:order val="58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(LM-FP1)'!$F$39:$G$39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46D-4896-9210-1DEEA2D8DEF1}"/>
            </c:ext>
          </c:extLst>
        </c:ser>
        <c:ser>
          <c:idx val="59"/>
          <c:order val="59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46D-4896-9210-1DEEA2D8D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(LM-Test)'!$C$2:$H$2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9-446C-A244-1925C22C19B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(LM-Test)'!$B$9:$B$23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09-446C-A244-1925C22C1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1-4DF9-8A64-22401708D6EA}"/>
            </c:ext>
          </c:extLst>
        </c:ser>
        <c:ser>
          <c:idx val="1"/>
          <c:order val="1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1-4DF9-8A64-22401708D6EA}"/>
            </c:ext>
          </c:extLst>
        </c:ser>
        <c:ser>
          <c:idx val="2"/>
          <c:order val="2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1-4DF9-8A64-22401708D6EA}"/>
            </c:ext>
          </c:extLst>
        </c:ser>
        <c:ser>
          <c:idx val="3"/>
          <c:order val="3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1-4DF9-8A64-22401708D6EA}"/>
            </c:ext>
          </c:extLst>
        </c:ser>
        <c:ser>
          <c:idx val="4"/>
          <c:order val="4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(LM-Test)'!$C$27:$D$27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1-4DF9-8A64-22401708D6EA}"/>
            </c:ext>
          </c:extLst>
        </c:ser>
        <c:ser>
          <c:idx val="5"/>
          <c:order val="5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(LM-Test)'!$D$27:$F$27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1-4DF9-8A64-22401708D6EA}"/>
            </c:ext>
          </c:extLst>
        </c:ser>
        <c:ser>
          <c:idx val="6"/>
          <c:order val="6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(LM-Test)'!$F$27:$G$27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1-4DF9-8A64-22401708D6EA}"/>
            </c:ext>
          </c:extLst>
        </c:ser>
        <c:ser>
          <c:idx val="7"/>
          <c:order val="7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1-4DF9-8A64-22401708D6EA}"/>
            </c:ext>
          </c:extLst>
        </c:ser>
        <c:ser>
          <c:idx val="8"/>
          <c:order val="8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(LM-Test)'!$C$11:$D$11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1-4DF9-8A64-22401708D6EA}"/>
            </c:ext>
          </c:extLst>
        </c:ser>
        <c:ser>
          <c:idx val="9"/>
          <c:order val="9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(LM-Test)'!$D$11:$F$11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1-4DF9-8A64-22401708D6EA}"/>
            </c:ext>
          </c:extLst>
        </c:ser>
        <c:ser>
          <c:idx val="10"/>
          <c:order val="10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(LM-Test)'!$F$11:$G$11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1-4DF9-8A64-22401708D6EA}"/>
            </c:ext>
          </c:extLst>
        </c:ser>
        <c:ser>
          <c:idx val="11"/>
          <c:order val="11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(LM-Test)'!$G$11:$H$11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1-4DF9-8A64-22401708D6EA}"/>
            </c:ext>
          </c:extLst>
        </c:ser>
        <c:ser>
          <c:idx val="12"/>
          <c:order val="12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(LM-Test)'!$C$12:$D$12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(LM-Test)'!$C$29:$D$29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1-4DF9-8A64-22401708D6EA}"/>
            </c:ext>
          </c:extLst>
        </c:ser>
        <c:ser>
          <c:idx val="13"/>
          <c:order val="13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(LM-Test)'!$D$12:$F$12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(LM-Test)'!$D$29:$F$29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1-4DF9-8A64-22401708D6EA}"/>
            </c:ext>
          </c:extLst>
        </c:ser>
        <c:ser>
          <c:idx val="14"/>
          <c:order val="14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(LM-Test)'!$F$12:$G$12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(LM-Test)'!$F$29:$G$29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1-4DF9-8A64-22401708D6EA}"/>
            </c:ext>
          </c:extLst>
        </c:ser>
        <c:ser>
          <c:idx val="15"/>
          <c:order val="15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(LM-Test)'!$G$12:$H$12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1-4DF9-8A64-22401708D6EA}"/>
            </c:ext>
          </c:extLst>
        </c:ser>
        <c:ser>
          <c:idx val="16"/>
          <c:order val="16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(LM-Test)'!$C$30:$D$30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4F1-4DF9-8A64-22401708D6EA}"/>
            </c:ext>
          </c:extLst>
        </c:ser>
        <c:ser>
          <c:idx val="17"/>
          <c:order val="17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(LM-Test)'!$D$30:$F$30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4F1-4DF9-8A64-22401708D6EA}"/>
            </c:ext>
          </c:extLst>
        </c:ser>
        <c:ser>
          <c:idx val="18"/>
          <c:order val="18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(LM-Test)'!$F$30:$G$30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4F1-4DF9-8A64-22401708D6EA}"/>
            </c:ext>
          </c:extLst>
        </c:ser>
        <c:ser>
          <c:idx val="19"/>
          <c:order val="19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4F1-4DF9-8A64-22401708D6EA}"/>
            </c:ext>
          </c:extLst>
        </c:ser>
        <c:ser>
          <c:idx val="20"/>
          <c:order val="20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(LM-Test)'!$C$14:$D$14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(LM-Test)'!$C$31:$D$31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4F1-4DF9-8A64-22401708D6EA}"/>
            </c:ext>
          </c:extLst>
        </c:ser>
        <c:ser>
          <c:idx val="21"/>
          <c:order val="21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(LM-Test)'!$D$14:$F$14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(LM-Test)'!$D$31:$F$31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4F1-4DF9-8A64-22401708D6EA}"/>
            </c:ext>
          </c:extLst>
        </c:ser>
        <c:ser>
          <c:idx val="22"/>
          <c:order val="22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(LM-Test)'!$F$14:$G$14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(LM-Test)'!$F$31:$G$31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4F1-4DF9-8A64-22401708D6EA}"/>
            </c:ext>
          </c:extLst>
        </c:ser>
        <c:ser>
          <c:idx val="23"/>
          <c:order val="23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(LM-Test)'!$G$14:$H$14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4F1-4DF9-8A64-22401708D6EA}"/>
            </c:ext>
          </c:extLst>
        </c:ser>
        <c:ser>
          <c:idx val="24"/>
          <c:order val="24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4F1-4DF9-8A64-22401708D6EA}"/>
            </c:ext>
          </c:extLst>
        </c:ser>
        <c:ser>
          <c:idx val="25"/>
          <c:order val="25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4F1-4DF9-8A64-22401708D6EA}"/>
            </c:ext>
          </c:extLst>
        </c:ser>
        <c:ser>
          <c:idx val="26"/>
          <c:order val="26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4F1-4DF9-8A64-22401708D6EA}"/>
            </c:ext>
          </c:extLst>
        </c:ser>
        <c:ser>
          <c:idx val="27"/>
          <c:order val="27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4F1-4DF9-8A64-22401708D6EA}"/>
            </c:ext>
          </c:extLst>
        </c:ser>
        <c:ser>
          <c:idx val="28"/>
          <c:order val="28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(LM-Test)'!$C$33:$D$33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4F1-4DF9-8A64-22401708D6EA}"/>
            </c:ext>
          </c:extLst>
        </c:ser>
        <c:ser>
          <c:idx val="29"/>
          <c:order val="29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(LM-Test)'!$D$33:$F$33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4F1-4DF9-8A64-22401708D6EA}"/>
            </c:ext>
          </c:extLst>
        </c:ser>
        <c:ser>
          <c:idx val="30"/>
          <c:order val="30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(LM-Test)'!$F$33:$G$33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4F1-4DF9-8A64-22401708D6EA}"/>
            </c:ext>
          </c:extLst>
        </c:ser>
        <c:ser>
          <c:idx val="31"/>
          <c:order val="31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4F1-4DF9-8A64-22401708D6EA}"/>
            </c:ext>
          </c:extLst>
        </c:ser>
        <c:ser>
          <c:idx val="32"/>
          <c:order val="32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(LM-Test)'!$C$34:$D$34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4F1-4DF9-8A64-22401708D6EA}"/>
            </c:ext>
          </c:extLst>
        </c:ser>
        <c:ser>
          <c:idx val="33"/>
          <c:order val="33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(LM-Test)'!$D$34:$F$34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4F1-4DF9-8A64-22401708D6EA}"/>
            </c:ext>
          </c:extLst>
        </c:ser>
        <c:ser>
          <c:idx val="34"/>
          <c:order val="34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(LM-Test)'!$F$34:$G$34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4F1-4DF9-8A64-22401708D6EA}"/>
            </c:ext>
          </c:extLst>
        </c:ser>
        <c:ser>
          <c:idx val="35"/>
          <c:order val="35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4F1-4DF9-8A64-22401708D6EA}"/>
            </c:ext>
          </c:extLst>
        </c:ser>
        <c:ser>
          <c:idx val="36"/>
          <c:order val="36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(LM-Test)'!$C$18:$D$18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(LM-Test)'!$C$35:$D$35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4F1-4DF9-8A64-22401708D6EA}"/>
            </c:ext>
          </c:extLst>
        </c:ser>
        <c:ser>
          <c:idx val="37"/>
          <c:order val="37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(LM-Test)'!$D$18:$F$18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(LM-Test)'!$D$35:$F$35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4F1-4DF9-8A64-22401708D6EA}"/>
            </c:ext>
          </c:extLst>
        </c:ser>
        <c:ser>
          <c:idx val="38"/>
          <c:order val="38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(LM-Test)'!$F$18:$G$18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(LM-Test)'!$F$35:$G$35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4F1-4DF9-8A64-22401708D6EA}"/>
            </c:ext>
          </c:extLst>
        </c:ser>
        <c:ser>
          <c:idx val="39"/>
          <c:order val="39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(LM-Test)'!$G$18:$H$18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4F1-4DF9-8A64-22401708D6EA}"/>
            </c:ext>
          </c:extLst>
        </c:ser>
        <c:ser>
          <c:idx val="40"/>
          <c:order val="40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(LM-Test)'!$C$40:$D$40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4F1-4DF9-8A64-22401708D6EA}"/>
            </c:ext>
          </c:extLst>
        </c:ser>
        <c:ser>
          <c:idx val="41"/>
          <c:order val="41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(LM-Test)'!$D$40:$F$40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4F1-4DF9-8A64-22401708D6EA}"/>
            </c:ext>
          </c:extLst>
        </c:ser>
        <c:ser>
          <c:idx val="42"/>
          <c:order val="42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(LM-Test)'!$F$40:$G$40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4F1-4DF9-8A64-22401708D6EA}"/>
            </c:ext>
          </c:extLst>
        </c:ser>
        <c:ser>
          <c:idx val="43"/>
          <c:order val="43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4F1-4DF9-8A64-22401708D6EA}"/>
            </c:ext>
          </c:extLst>
        </c:ser>
        <c:ser>
          <c:idx val="44"/>
          <c:order val="44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4F1-4DF9-8A64-22401708D6EA}"/>
            </c:ext>
          </c:extLst>
        </c:ser>
        <c:ser>
          <c:idx val="45"/>
          <c:order val="45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4F1-4DF9-8A64-22401708D6EA}"/>
            </c:ext>
          </c:extLst>
        </c:ser>
        <c:ser>
          <c:idx val="46"/>
          <c:order val="46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4F1-4DF9-8A64-22401708D6EA}"/>
            </c:ext>
          </c:extLst>
        </c:ser>
        <c:ser>
          <c:idx val="47"/>
          <c:order val="47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4F1-4DF9-8A64-22401708D6EA}"/>
            </c:ext>
          </c:extLst>
        </c:ser>
        <c:ser>
          <c:idx val="48"/>
          <c:order val="48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(LM-Test)'!$C$37:$D$37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4F1-4DF9-8A64-22401708D6EA}"/>
            </c:ext>
          </c:extLst>
        </c:ser>
        <c:ser>
          <c:idx val="49"/>
          <c:order val="49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(LM-Test)'!$D$37:$F$37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4F1-4DF9-8A64-22401708D6EA}"/>
            </c:ext>
          </c:extLst>
        </c:ser>
        <c:ser>
          <c:idx val="50"/>
          <c:order val="50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(LM-Test)'!$F$37:$G$37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4F1-4DF9-8A64-22401708D6EA}"/>
            </c:ext>
          </c:extLst>
        </c:ser>
        <c:ser>
          <c:idx val="51"/>
          <c:order val="51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4F1-4DF9-8A64-22401708D6EA}"/>
            </c:ext>
          </c:extLst>
        </c:ser>
        <c:ser>
          <c:idx val="52"/>
          <c:order val="52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(LM-Test)'!$C$38:$D$38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4F1-4DF9-8A64-22401708D6EA}"/>
            </c:ext>
          </c:extLst>
        </c:ser>
        <c:ser>
          <c:idx val="53"/>
          <c:order val="53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(LM-Test)'!$D$38:$F$38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4F1-4DF9-8A64-22401708D6EA}"/>
            </c:ext>
          </c:extLst>
        </c:ser>
        <c:ser>
          <c:idx val="54"/>
          <c:order val="54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(LM-Test)'!$F$38:$G$38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4F1-4DF9-8A64-22401708D6EA}"/>
            </c:ext>
          </c:extLst>
        </c:ser>
        <c:ser>
          <c:idx val="55"/>
          <c:order val="55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4F1-4DF9-8A64-22401708D6EA}"/>
            </c:ext>
          </c:extLst>
        </c:ser>
        <c:ser>
          <c:idx val="56"/>
          <c:order val="56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(LM-Test)'!$C$39:$D$39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4F1-4DF9-8A64-22401708D6EA}"/>
            </c:ext>
          </c:extLst>
        </c:ser>
        <c:ser>
          <c:idx val="57"/>
          <c:order val="57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(LM-Test)'!$D$39:$F$39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4F1-4DF9-8A64-22401708D6EA}"/>
            </c:ext>
          </c:extLst>
        </c:ser>
        <c:ser>
          <c:idx val="58"/>
          <c:order val="58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(LM-Test)'!$F$39:$G$39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4F1-4DF9-8A64-22401708D6EA}"/>
            </c:ext>
          </c:extLst>
        </c:ser>
        <c:ser>
          <c:idx val="59"/>
          <c:order val="59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4F1-4DF9-8A64-22401708D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(MNZ)'!$C$2:$H$2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2-47AD-AC98-ECFA9386BC7D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(MNZ)'!$B$9:$B$23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82-47AD-AC98-ECFA9386B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1-4F7A-ABFA-D0E9E50D0E2A}"/>
            </c:ext>
          </c:extLst>
        </c:ser>
        <c:ser>
          <c:idx val="1"/>
          <c:order val="1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C1-4F7A-ABFA-D0E9E50D0E2A}"/>
            </c:ext>
          </c:extLst>
        </c:ser>
        <c:ser>
          <c:idx val="2"/>
          <c:order val="2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C1-4F7A-ABFA-D0E9E50D0E2A}"/>
            </c:ext>
          </c:extLst>
        </c:ser>
        <c:ser>
          <c:idx val="3"/>
          <c:order val="3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C1-4F7A-ABFA-D0E9E50D0E2A}"/>
            </c:ext>
          </c:extLst>
        </c:ser>
        <c:ser>
          <c:idx val="4"/>
          <c:order val="4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(MNZ)'!$C$27:$D$27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C1-4F7A-ABFA-D0E9E50D0E2A}"/>
            </c:ext>
          </c:extLst>
        </c:ser>
        <c:ser>
          <c:idx val="5"/>
          <c:order val="5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(MNZ)'!$D$27:$F$27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C1-4F7A-ABFA-D0E9E50D0E2A}"/>
            </c:ext>
          </c:extLst>
        </c:ser>
        <c:ser>
          <c:idx val="6"/>
          <c:order val="6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(MNZ)'!$F$27:$G$27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C1-4F7A-ABFA-D0E9E50D0E2A}"/>
            </c:ext>
          </c:extLst>
        </c:ser>
        <c:ser>
          <c:idx val="7"/>
          <c:order val="7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C1-4F7A-ABFA-D0E9E50D0E2A}"/>
            </c:ext>
          </c:extLst>
        </c:ser>
        <c:ser>
          <c:idx val="8"/>
          <c:order val="8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(MNZ)'!$C$11:$D$11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7C1-4F7A-ABFA-D0E9E50D0E2A}"/>
            </c:ext>
          </c:extLst>
        </c:ser>
        <c:ser>
          <c:idx val="9"/>
          <c:order val="9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C1-4F7A-ABFA-D0E9E50D0E2A}"/>
            </c:ext>
          </c:extLst>
        </c:ser>
        <c:ser>
          <c:idx val="10"/>
          <c:order val="10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7C1-4F7A-ABFA-D0E9E50D0E2A}"/>
            </c:ext>
          </c:extLst>
        </c:ser>
        <c:ser>
          <c:idx val="11"/>
          <c:order val="11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7C1-4F7A-ABFA-D0E9E50D0E2A}"/>
            </c:ext>
          </c:extLst>
        </c:ser>
        <c:ser>
          <c:idx val="12"/>
          <c:order val="12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(MNZ)'!$C$29:$D$29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7C1-4F7A-ABFA-D0E9E50D0E2A}"/>
            </c:ext>
          </c:extLst>
        </c:ser>
        <c:ser>
          <c:idx val="13"/>
          <c:order val="13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(MNZ)'!$D$29:$F$29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7C1-4F7A-ABFA-D0E9E50D0E2A}"/>
            </c:ext>
          </c:extLst>
        </c:ser>
        <c:ser>
          <c:idx val="14"/>
          <c:order val="14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(MNZ)'!$F$29:$G$29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7C1-4F7A-ABFA-D0E9E50D0E2A}"/>
            </c:ext>
          </c:extLst>
        </c:ser>
        <c:ser>
          <c:idx val="15"/>
          <c:order val="15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7C1-4F7A-ABFA-D0E9E50D0E2A}"/>
            </c:ext>
          </c:extLst>
        </c:ser>
        <c:ser>
          <c:idx val="16"/>
          <c:order val="16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(MNZ)'!$C$30:$D$30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7C1-4F7A-ABFA-D0E9E50D0E2A}"/>
            </c:ext>
          </c:extLst>
        </c:ser>
        <c:ser>
          <c:idx val="17"/>
          <c:order val="17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(MNZ)'!$D$30:$F$30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7C1-4F7A-ABFA-D0E9E50D0E2A}"/>
            </c:ext>
          </c:extLst>
        </c:ser>
        <c:ser>
          <c:idx val="18"/>
          <c:order val="18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(MNZ)'!$F$30:$G$30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7C1-4F7A-ABFA-D0E9E50D0E2A}"/>
            </c:ext>
          </c:extLst>
        </c:ser>
        <c:ser>
          <c:idx val="19"/>
          <c:order val="19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7C1-4F7A-ABFA-D0E9E50D0E2A}"/>
            </c:ext>
          </c:extLst>
        </c:ser>
        <c:ser>
          <c:idx val="20"/>
          <c:order val="20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(MNZ)'!$C$14:$D$14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(MNZ)'!$C$31:$D$31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7C1-4F7A-ABFA-D0E9E50D0E2A}"/>
            </c:ext>
          </c:extLst>
        </c:ser>
        <c:ser>
          <c:idx val="21"/>
          <c:order val="21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(MNZ)'!$D$31:$F$31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7C1-4F7A-ABFA-D0E9E50D0E2A}"/>
            </c:ext>
          </c:extLst>
        </c:ser>
        <c:ser>
          <c:idx val="22"/>
          <c:order val="22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(MNZ)'!$F$31:$G$31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7C1-4F7A-ABFA-D0E9E50D0E2A}"/>
            </c:ext>
          </c:extLst>
        </c:ser>
        <c:ser>
          <c:idx val="23"/>
          <c:order val="23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7C1-4F7A-ABFA-D0E9E50D0E2A}"/>
            </c:ext>
          </c:extLst>
        </c:ser>
        <c:ser>
          <c:idx val="24"/>
          <c:order val="24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7C1-4F7A-ABFA-D0E9E50D0E2A}"/>
            </c:ext>
          </c:extLst>
        </c:ser>
        <c:ser>
          <c:idx val="25"/>
          <c:order val="25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7C1-4F7A-ABFA-D0E9E50D0E2A}"/>
            </c:ext>
          </c:extLst>
        </c:ser>
        <c:ser>
          <c:idx val="26"/>
          <c:order val="26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7C1-4F7A-ABFA-D0E9E50D0E2A}"/>
            </c:ext>
          </c:extLst>
        </c:ser>
        <c:ser>
          <c:idx val="27"/>
          <c:order val="27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7C1-4F7A-ABFA-D0E9E50D0E2A}"/>
            </c:ext>
          </c:extLst>
        </c:ser>
        <c:ser>
          <c:idx val="28"/>
          <c:order val="28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(MNZ)'!$C$33:$D$33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7C1-4F7A-ABFA-D0E9E50D0E2A}"/>
            </c:ext>
          </c:extLst>
        </c:ser>
        <c:ser>
          <c:idx val="29"/>
          <c:order val="29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(MNZ)'!$D$33:$F$33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7C1-4F7A-ABFA-D0E9E50D0E2A}"/>
            </c:ext>
          </c:extLst>
        </c:ser>
        <c:ser>
          <c:idx val="30"/>
          <c:order val="30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(MNZ)'!$F$33:$G$33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7C1-4F7A-ABFA-D0E9E50D0E2A}"/>
            </c:ext>
          </c:extLst>
        </c:ser>
        <c:ser>
          <c:idx val="31"/>
          <c:order val="31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7C1-4F7A-ABFA-D0E9E50D0E2A}"/>
            </c:ext>
          </c:extLst>
        </c:ser>
        <c:ser>
          <c:idx val="32"/>
          <c:order val="32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(MNZ)'!$C$34:$D$34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7C1-4F7A-ABFA-D0E9E50D0E2A}"/>
            </c:ext>
          </c:extLst>
        </c:ser>
        <c:ser>
          <c:idx val="33"/>
          <c:order val="33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(MNZ)'!$D$34:$F$34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7C1-4F7A-ABFA-D0E9E50D0E2A}"/>
            </c:ext>
          </c:extLst>
        </c:ser>
        <c:ser>
          <c:idx val="34"/>
          <c:order val="34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(MNZ)'!$F$34:$G$34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7C1-4F7A-ABFA-D0E9E50D0E2A}"/>
            </c:ext>
          </c:extLst>
        </c:ser>
        <c:ser>
          <c:idx val="35"/>
          <c:order val="35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7C1-4F7A-ABFA-D0E9E50D0E2A}"/>
            </c:ext>
          </c:extLst>
        </c:ser>
        <c:ser>
          <c:idx val="36"/>
          <c:order val="36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(MNZ)'!$C$35:$D$35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7C1-4F7A-ABFA-D0E9E50D0E2A}"/>
            </c:ext>
          </c:extLst>
        </c:ser>
        <c:ser>
          <c:idx val="37"/>
          <c:order val="37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(MNZ)'!$D$35:$F$35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7C1-4F7A-ABFA-D0E9E50D0E2A}"/>
            </c:ext>
          </c:extLst>
        </c:ser>
        <c:ser>
          <c:idx val="38"/>
          <c:order val="38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(MNZ)'!$F$35:$G$35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7C1-4F7A-ABFA-D0E9E50D0E2A}"/>
            </c:ext>
          </c:extLst>
        </c:ser>
        <c:ser>
          <c:idx val="39"/>
          <c:order val="39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7C1-4F7A-ABFA-D0E9E50D0E2A}"/>
            </c:ext>
          </c:extLst>
        </c:ser>
        <c:ser>
          <c:idx val="40"/>
          <c:order val="40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(MNZ)'!$C$40:$D$40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7C1-4F7A-ABFA-D0E9E50D0E2A}"/>
            </c:ext>
          </c:extLst>
        </c:ser>
        <c:ser>
          <c:idx val="41"/>
          <c:order val="41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(MNZ)'!$D$40:$F$40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7C1-4F7A-ABFA-D0E9E50D0E2A}"/>
            </c:ext>
          </c:extLst>
        </c:ser>
        <c:ser>
          <c:idx val="42"/>
          <c:order val="42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(MNZ)'!$F$40:$G$40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7C1-4F7A-ABFA-D0E9E50D0E2A}"/>
            </c:ext>
          </c:extLst>
        </c:ser>
        <c:ser>
          <c:idx val="43"/>
          <c:order val="43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7C1-4F7A-ABFA-D0E9E50D0E2A}"/>
            </c:ext>
          </c:extLst>
        </c:ser>
        <c:ser>
          <c:idx val="44"/>
          <c:order val="44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7C1-4F7A-ABFA-D0E9E50D0E2A}"/>
            </c:ext>
          </c:extLst>
        </c:ser>
        <c:ser>
          <c:idx val="45"/>
          <c:order val="45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7C1-4F7A-ABFA-D0E9E50D0E2A}"/>
            </c:ext>
          </c:extLst>
        </c:ser>
        <c:ser>
          <c:idx val="46"/>
          <c:order val="46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7C1-4F7A-ABFA-D0E9E50D0E2A}"/>
            </c:ext>
          </c:extLst>
        </c:ser>
        <c:ser>
          <c:idx val="47"/>
          <c:order val="47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7C1-4F7A-ABFA-D0E9E50D0E2A}"/>
            </c:ext>
          </c:extLst>
        </c:ser>
        <c:ser>
          <c:idx val="48"/>
          <c:order val="48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(MNZ)'!$C$37:$D$37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7C1-4F7A-ABFA-D0E9E50D0E2A}"/>
            </c:ext>
          </c:extLst>
        </c:ser>
        <c:ser>
          <c:idx val="49"/>
          <c:order val="49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(MNZ)'!$D$37:$F$37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7C1-4F7A-ABFA-D0E9E50D0E2A}"/>
            </c:ext>
          </c:extLst>
        </c:ser>
        <c:ser>
          <c:idx val="50"/>
          <c:order val="50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(MNZ)'!$F$37:$G$37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7C1-4F7A-ABFA-D0E9E50D0E2A}"/>
            </c:ext>
          </c:extLst>
        </c:ser>
        <c:ser>
          <c:idx val="51"/>
          <c:order val="51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7C1-4F7A-ABFA-D0E9E50D0E2A}"/>
            </c:ext>
          </c:extLst>
        </c:ser>
        <c:ser>
          <c:idx val="52"/>
          <c:order val="52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(MNZ)'!$C$38:$D$38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7C1-4F7A-ABFA-D0E9E50D0E2A}"/>
            </c:ext>
          </c:extLst>
        </c:ser>
        <c:ser>
          <c:idx val="53"/>
          <c:order val="53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(MNZ)'!$D$38:$F$38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7C1-4F7A-ABFA-D0E9E50D0E2A}"/>
            </c:ext>
          </c:extLst>
        </c:ser>
        <c:ser>
          <c:idx val="54"/>
          <c:order val="54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(MNZ)'!$F$38:$G$38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7C1-4F7A-ABFA-D0E9E50D0E2A}"/>
            </c:ext>
          </c:extLst>
        </c:ser>
        <c:ser>
          <c:idx val="55"/>
          <c:order val="55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7C1-4F7A-ABFA-D0E9E50D0E2A}"/>
            </c:ext>
          </c:extLst>
        </c:ser>
        <c:ser>
          <c:idx val="56"/>
          <c:order val="56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(MNZ)'!$C$39:$D$39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7C1-4F7A-ABFA-D0E9E50D0E2A}"/>
            </c:ext>
          </c:extLst>
        </c:ser>
        <c:ser>
          <c:idx val="57"/>
          <c:order val="57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(MNZ)'!$D$39:$F$39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7C1-4F7A-ABFA-D0E9E50D0E2A}"/>
            </c:ext>
          </c:extLst>
        </c:ser>
        <c:ser>
          <c:idx val="58"/>
          <c:order val="58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(MNZ)'!$F$39:$G$39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7C1-4F7A-ABFA-D0E9E50D0E2A}"/>
            </c:ext>
          </c:extLst>
        </c:ser>
        <c:ser>
          <c:idx val="59"/>
          <c:order val="59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7C1-4F7A-ABFA-D0E9E50D0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Bars'!$C$10:$D$10</c:f>
              <c:numCache>
                <c:formatCode>0.000</c:formatCode>
                <c:ptCount val="2"/>
                <c:pt idx="0">
                  <c:v>0.26345717766173965</c:v>
                </c:pt>
                <c:pt idx="1">
                  <c:v>0.28505614865203066</c:v>
                </c:pt>
              </c:numCache>
            </c:numRef>
          </c:xVal>
          <c:yVal>
            <c:numRef>
              <c:f>'03_Anti-Roll Bars'!$C$27:$D$27</c:f>
              <c:numCache>
                <c:formatCode>0.0%</c:formatCode>
                <c:ptCount val="2"/>
                <c:pt idx="0">
                  <c:v>0.56895061963994775</c:v>
                </c:pt>
                <c:pt idx="1">
                  <c:v>0.53361196178135128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Bars'!$D$10:$F$10</c:f>
              <c:numCache>
                <c:formatCode>0.000</c:formatCode>
                <c:ptCount val="3"/>
                <c:pt idx="0">
                  <c:v>0.28505614865203066</c:v>
                </c:pt>
                <c:pt idx="1">
                  <c:v>0.29411661069186923</c:v>
                </c:pt>
                <c:pt idx="2">
                  <c:v>0.30373174605604181</c:v>
                </c:pt>
              </c:numCache>
            </c:numRef>
          </c:xVal>
          <c:yVal>
            <c:numRef>
              <c:f>'03_Anti-Roll Bars'!$D$27:$F$27</c:f>
              <c:numCache>
                <c:formatCode>0.0%</c:formatCode>
                <c:ptCount val="3"/>
                <c:pt idx="0">
                  <c:v>0.53361196178135128</c:v>
                </c:pt>
                <c:pt idx="1">
                  <c:v>0.5187878959399469</c:v>
                </c:pt>
                <c:pt idx="2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Bars'!$F$10:$G$10</c:f>
              <c:numCache>
                <c:formatCode>0.000</c:formatCode>
                <c:ptCount val="2"/>
                <c:pt idx="0">
                  <c:v>0.30373174605604181</c:v>
                </c:pt>
              </c:numCache>
            </c:numRef>
          </c:xVal>
          <c:yVal>
            <c:numRef>
              <c:f>'03_Anti-Roll Bars'!$F$27:$G$27</c:f>
              <c:numCache>
                <c:formatCode>0.0%</c:formatCode>
                <c:ptCount val="2"/>
                <c:pt idx="0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Bars'!$C$12:$D$12</c:f>
              <c:numCache>
                <c:formatCode>0.000</c:formatCode>
                <c:ptCount val="2"/>
                <c:pt idx="0">
                  <c:v>0.26858840991747529</c:v>
                </c:pt>
                <c:pt idx="1">
                  <c:v>0.29107282207483731</c:v>
                </c:pt>
              </c:numCache>
            </c:numRef>
          </c:xVal>
          <c:yVal>
            <c:numRef>
              <c:f>'03_Anti-Roll Bars'!$C$29:$D$29</c:f>
              <c:numCache>
                <c:formatCode>0.0%</c:formatCode>
                <c:ptCount val="2"/>
                <c:pt idx="0">
                  <c:v>0.58003180481519323</c:v>
                </c:pt>
                <c:pt idx="1">
                  <c:v>0.54487489690386537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Bars'!$D$12:$F$12</c:f>
              <c:numCache>
                <c:formatCode>0.000</c:formatCode>
                <c:ptCount val="3"/>
                <c:pt idx="0">
                  <c:v>0.29107282207483731</c:v>
                </c:pt>
                <c:pt idx="1">
                  <c:v>0.30052614056765081</c:v>
                </c:pt>
                <c:pt idx="2">
                  <c:v>0.31057207456419372</c:v>
                </c:pt>
              </c:numCache>
            </c:numRef>
          </c:xVal>
          <c:yVal>
            <c:numRef>
              <c:f>'03_Anti-Roll Bars'!$D$29:$F$29</c:f>
              <c:numCache>
                <c:formatCode>0.0%</c:formatCode>
                <c:ptCount val="3"/>
                <c:pt idx="0">
                  <c:v>0.54487489690386537</c:v>
                </c:pt>
                <c:pt idx="1">
                  <c:v>0.53009356993910972</c:v>
                </c:pt>
                <c:pt idx="2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Bars'!$F$12:$G$12</c:f>
              <c:numCache>
                <c:formatCode>0.000</c:formatCode>
                <c:ptCount val="2"/>
                <c:pt idx="0">
                  <c:v>0.31057207456419372</c:v>
                </c:pt>
              </c:numCache>
            </c:numRef>
          </c:xVal>
          <c:yVal>
            <c:numRef>
              <c:f>'03_Anti-Roll Bars'!$F$29:$G$29</c:f>
              <c:numCache>
                <c:formatCode>0.0%</c:formatCode>
                <c:ptCount val="2"/>
                <c:pt idx="0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Bars'!$C$13:$D$13</c:f>
              <c:numCache>
                <c:formatCode>0.000</c:formatCode>
                <c:ptCount val="2"/>
                <c:pt idx="0">
                  <c:v>0.27130540582856189</c:v>
                </c:pt>
                <c:pt idx="1">
                  <c:v>0.2942664601024278</c:v>
                </c:pt>
              </c:numCache>
            </c:numRef>
          </c:xVal>
          <c:yVal>
            <c:numRef>
              <c:f>'03_Anti-Roll Bars'!$C$30:$D$30</c:f>
              <c:numCache>
                <c:formatCode>0.0%</c:formatCode>
                <c:ptCount val="2"/>
                <c:pt idx="0">
                  <c:v>0.585899310574162</c:v>
                </c:pt>
                <c:pt idx="1">
                  <c:v>0.55085323998181945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Bars'!$D$13:$F$13</c:f>
              <c:numCache>
                <c:formatCode>0.000</c:formatCode>
                <c:ptCount val="3"/>
                <c:pt idx="0">
                  <c:v>0.2942664601024278</c:v>
                </c:pt>
                <c:pt idx="1">
                  <c:v>0.30393180356491523</c:v>
                </c:pt>
                <c:pt idx="2">
                  <c:v>0.31421060923251942</c:v>
                </c:pt>
              </c:numCache>
            </c:numRef>
          </c:xVal>
          <c:yVal>
            <c:numRef>
              <c:f>'03_Anti-Roll Bars'!$D$30:$F$30</c:f>
              <c:numCache>
                <c:formatCode>0.0%</c:formatCode>
                <c:ptCount val="3"/>
                <c:pt idx="0">
                  <c:v>0.55085323998181945</c:v>
                </c:pt>
                <c:pt idx="1">
                  <c:v>0.53610076802450546</c:v>
                </c:pt>
                <c:pt idx="2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Bars'!$F$13:$G$13</c:f>
              <c:numCache>
                <c:formatCode>0.000</c:formatCode>
                <c:ptCount val="2"/>
                <c:pt idx="0">
                  <c:v>0.31421060923251942</c:v>
                </c:pt>
              </c:numCache>
            </c:numRef>
          </c:xVal>
          <c:yVal>
            <c:numRef>
              <c:f>'03_Anti-Roll Bars'!$F$30:$G$30</c:f>
              <c:numCache>
                <c:formatCode>0.0%</c:formatCode>
                <c:ptCount val="2"/>
                <c:pt idx="0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Bars'!$C$14:$D$14</c:f>
              <c:numCache>
                <c:formatCode>0.000</c:formatCode>
                <c:ptCount val="2"/>
                <c:pt idx="0">
                  <c:v>0.27582749516324356</c:v>
                </c:pt>
                <c:pt idx="1">
                  <c:v>0.29959387886125183</c:v>
                </c:pt>
              </c:numCache>
            </c:numRef>
          </c:xVal>
          <c:yVal>
            <c:numRef>
              <c:f>'03_Anti-Roll Bars'!$C$31:$D$31</c:f>
              <c:numCache>
                <c:formatCode>0.0%</c:formatCode>
                <c:ptCount val="2"/>
                <c:pt idx="0">
                  <c:v>0.59566501728926879</c:v>
                </c:pt>
                <c:pt idx="1">
                  <c:v>0.56082592216590743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Bars'!$D$14:$F$14</c:f>
              <c:numCache>
                <c:formatCode>0.000</c:formatCode>
                <c:ptCount val="3"/>
                <c:pt idx="0">
                  <c:v>0.29959387886125183</c:v>
                </c:pt>
                <c:pt idx="1">
                  <c:v>0.30961831510758814</c:v>
                </c:pt>
                <c:pt idx="2">
                  <c:v>0.32029210220955551</c:v>
                </c:pt>
              </c:numCache>
            </c:numRef>
          </c:xVal>
          <c:yVal>
            <c:numRef>
              <c:f>'03_Anti-Roll Bars'!$D$31:$F$31</c:f>
              <c:numCache>
                <c:formatCode>0.0%</c:formatCode>
                <c:ptCount val="3"/>
                <c:pt idx="0">
                  <c:v>0.56082592216590743</c:v>
                </c:pt>
                <c:pt idx="1">
                  <c:v>0.54613112078670345</c:v>
                </c:pt>
                <c:pt idx="2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Bars'!$F$14:$G$14</c:f>
              <c:numCache>
                <c:formatCode>0.000</c:formatCode>
                <c:ptCount val="2"/>
                <c:pt idx="0">
                  <c:v>0.32029210220955551</c:v>
                </c:pt>
              </c:numCache>
            </c:numRef>
          </c:xVal>
          <c:yVal>
            <c:numRef>
              <c:f>'03_Anti-Roll Bars'!$F$31:$G$31</c:f>
              <c:numCache>
                <c:formatCode>0.0%</c:formatCode>
                <c:ptCount val="2"/>
                <c:pt idx="0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Bars'!$C$16:$D$16</c:f>
              <c:numCache>
                <c:formatCode>0.000</c:formatCode>
                <c:ptCount val="2"/>
                <c:pt idx="0">
                  <c:v>0.27963557890423052</c:v>
                </c:pt>
                <c:pt idx="1">
                  <c:v>0.30409182434384663</c:v>
                </c:pt>
              </c:numCache>
            </c:numRef>
          </c:xVal>
          <c:yVal>
            <c:numRef>
              <c:f>'03_Anti-Roll Bars'!$C$33:$D$33</c:f>
              <c:numCache>
                <c:formatCode>0.0%</c:formatCode>
                <c:ptCount val="2"/>
                <c:pt idx="0">
                  <c:v>0.60388878869418794</c:v>
                </c:pt>
                <c:pt idx="1">
                  <c:v>0.56924586863716509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Bars'!$D$16:$F$16</c:f>
              <c:numCache>
                <c:formatCode>0.000</c:formatCode>
                <c:ptCount val="3"/>
                <c:pt idx="0">
                  <c:v>0.30409182434384663</c:v>
                </c:pt>
                <c:pt idx="1">
                  <c:v>0.31442471415648343</c:v>
                </c:pt>
                <c:pt idx="2">
                  <c:v>0.32543835930757614</c:v>
                </c:pt>
              </c:numCache>
            </c:numRef>
          </c:xVal>
          <c:yVal>
            <c:numRef>
              <c:f>'03_Anti-Roll Bars'!$D$33:$F$33</c:f>
              <c:numCache>
                <c:formatCode>0.0%</c:formatCode>
                <c:ptCount val="3"/>
                <c:pt idx="0">
                  <c:v>0.56924586863716509</c:v>
                </c:pt>
                <c:pt idx="1">
                  <c:v>0.55460905626868306</c:v>
                </c:pt>
                <c:pt idx="2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Bars'!$F$16:$G$16</c:f>
              <c:numCache>
                <c:formatCode>0.000</c:formatCode>
                <c:ptCount val="2"/>
                <c:pt idx="0">
                  <c:v>0.32543835930757614</c:v>
                </c:pt>
              </c:numCache>
            </c:numRef>
          </c:xVal>
          <c:yVal>
            <c:numRef>
              <c:f>'03_Anti-Roll Bars'!$F$33:$G$33</c:f>
              <c:numCache>
                <c:formatCode>0.0%</c:formatCode>
                <c:ptCount val="2"/>
                <c:pt idx="0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Bars'!$C$17:$D$17</c:f>
              <c:numCache>
                <c:formatCode>0.000</c:formatCode>
                <c:ptCount val="2"/>
                <c:pt idx="0">
                  <c:v>0.28346760980292357</c:v>
                </c:pt>
                <c:pt idx="1">
                  <c:v>0.30862888353461171</c:v>
                </c:pt>
              </c:numCache>
            </c:numRef>
          </c:xVal>
          <c:yVal>
            <c:numRef>
              <c:f>'03_Anti-Roll Bars'!$C$34:$D$34</c:f>
              <c:numCache>
                <c:formatCode>0.0%</c:formatCode>
                <c:ptCount val="2"/>
                <c:pt idx="0">
                  <c:v>0.61216427533547468</c:v>
                </c:pt>
                <c:pt idx="1">
                  <c:v>0.57773903416595929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Bars'!$D$17:$F$17</c:f>
              <c:numCache>
                <c:formatCode>0.000</c:formatCode>
                <c:ptCount val="3"/>
                <c:pt idx="0">
                  <c:v>0.30862888353461171</c:v>
                </c:pt>
                <c:pt idx="1">
                  <c:v>0.31927780631950503</c:v>
                </c:pt>
                <c:pt idx="2">
                  <c:v>0.33064020586927945</c:v>
                </c:pt>
              </c:numCache>
            </c:numRef>
          </c:xVal>
          <c:yVal>
            <c:numRef>
              <c:f>'03_Anti-Roll Bars'!$D$34:$F$34</c:f>
              <c:numCache>
                <c:formatCode>0.0%</c:formatCode>
                <c:ptCount val="3"/>
                <c:pt idx="0">
                  <c:v>0.57773903416595929</c:v>
                </c:pt>
                <c:pt idx="1">
                  <c:v>0.5631693530371451</c:v>
                </c:pt>
                <c:pt idx="2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Bars'!$F$17:$G$17</c:f>
              <c:numCache>
                <c:formatCode>0.000</c:formatCode>
                <c:ptCount val="2"/>
                <c:pt idx="0">
                  <c:v>0.33064020586927945</c:v>
                </c:pt>
              </c:numCache>
            </c:numRef>
          </c:xVal>
          <c:yVal>
            <c:numRef>
              <c:f>'03_Anti-Roll Bars'!$F$34:$G$34</c:f>
              <c:numCache>
                <c:formatCode>0.0%</c:formatCode>
                <c:ptCount val="2"/>
                <c:pt idx="0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Bars'!$C$18:$D$18</c:f>
              <c:numCache>
                <c:formatCode>0.000</c:formatCode>
                <c:ptCount val="2"/>
                <c:pt idx="0">
                  <c:v>0.2866434921455086</c:v>
                </c:pt>
                <c:pt idx="1">
                  <c:v>0.31239733358249783</c:v>
                </c:pt>
              </c:numCache>
            </c:numRef>
          </c:xVal>
          <c:yVal>
            <c:numRef>
              <c:f>'03_Anti-Roll Bars'!$C$35:$D$35</c:f>
              <c:numCache>
                <c:formatCode>0.0%</c:formatCode>
                <c:ptCount val="2"/>
                <c:pt idx="0">
                  <c:v>0.61902277219919399</c:v>
                </c:pt>
                <c:pt idx="1">
                  <c:v>0.58479339883213699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Bars'!$D$18:$F$18</c:f>
              <c:numCache>
                <c:formatCode>0.000</c:formatCode>
                <c:ptCount val="3"/>
                <c:pt idx="0">
                  <c:v>0.31239733358249783</c:v>
                </c:pt>
                <c:pt idx="1">
                  <c:v>0.32331249562830144</c:v>
                </c:pt>
                <c:pt idx="2">
                  <c:v>0.33496912343972518</c:v>
                </c:pt>
              </c:numCache>
            </c:numRef>
          </c:xVal>
          <c:yVal>
            <c:numRef>
              <c:f>'03_Anti-Roll Bars'!$D$35:$F$35</c:f>
              <c:numCache>
                <c:formatCode>0.0%</c:formatCode>
                <c:ptCount val="3"/>
                <c:pt idx="0">
                  <c:v>0.58479339883213699</c:v>
                </c:pt>
                <c:pt idx="1">
                  <c:v>0.57028608123674607</c:v>
                </c:pt>
                <c:pt idx="2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Bars'!$F$18:$G$18</c:f>
              <c:numCache>
                <c:formatCode>0.000</c:formatCode>
                <c:ptCount val="2"/>
                <c:pt idx="0">
                  <c:v>0.33496912343972518</c:v>
                </c:pt>
              </c:numCache>
            </c:numRef>
          </c:xVal>
          <c:yVal>
            <c:numRef>
              <c:f>'03_Anti-Roll Bars'!$F$35:$G$35</c:f>
              <c:numCache>
                <c:formatCode>0.0%</c:formatCode>
                <c:ptCount val="2"/>
                <c:pt idx="0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Bars'!$C$23:$D$23</c:f>
              <c:numCache>
                <c:formatCode>0.000</c:formatCode>
                <c:ptCount val="2"/>
                <c:pt idx="0">
                  <c:v>0.31878789118260575</c:v>
                </c:pt>
                <c:pt idx="1">
                  <c:v>0.35096591514776998</c:v>
                </c:pt>
              </c:numCache>
            </c:numRef>
          </c:xVal>
          <c:yVal>
            <c:numRef>
              <c:f>'03_Anti-Roll Bars'!$C$40:$D$40</c:f>
              <c:numCache>
                <c:formatCode>0.0%</c:formatCode>
                <c:ptCount val="2"/>
                <c:pt idx="0">
                  <c:v>0.68844041309410775</c:v>
                </c:pt>
                <c:pt idx="1">
                  <c:v>0.65699200450856388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Bars'!$D$23:$F$23</c:f>
              <c:numCache>
                <c:formatCode>0.000</c:formatCode>
                <c:ptCount val="3"/>
                <c:pt idx="0">
                  <c:v>0.35096591514776998</c:v>
                </c:pt>
                <c:pt idx="1">
                  <c:v>0.36480230844345063</c:v>
                </c:pt>
                <c:pt idx="2">
                  <c:v>0.37971160351452921</c:v>
                </c:pt>
              </c:numCache>
            </c:numRef>
          </c:xVal>
          <c:yVal>
            <c:numRef>
              <c:f>'03_Anti-Roll Bars'!$D$40:$F$40</c:f>
              <c:numCache>
                <c:formatCode>0.0%</c:formatCode>
                <c:ptCount val="3"/>
                <c:pt idx="0">
                  <c:v>0.65699200450856388</c:v>
                </c:pt>
                <c:pt idx="1">
                  <c:v>0.64346934226603725</c:v>
                </c:pt>
                <c:pt idx="2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Bars'!$F$23:$G$23</c:f>
              <c:numCache>
                <c:formatCode>0.000</c:formatCode>
                <c:ptCount val="2"/>
                <c:pt idx="0">
                  <c:v>0.37971160351452921</c:v>
                </c:pt>
              </c:numCache>
            </c:numRef>
          </c:xVal>
          <c:yVal>
            <c:numRef>
              <c:f>'03_Anti-Roll Bars'!$F$40:$G$40</c:f>
              <c:numCache>
                <c:formatCode>0.0%</c:formatCode>
                <c:ptCount val="2"/>
                <c:pt idx="0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Bars'!$C$20:$D$20</c:f>
              <c:numCache>
                <c:formatCode>0.000</c:formatCode>
                <c:ptCount val="2"/>
                <c:pt idx="0">
                  <c:v>0.29154302739540022</c:v>
                </c:pt>
                <c:pt idx="1">
                  <c:v>0.31822578015032782</c:v>
                </c:pt>
              </c:numCache>
            </c:numRef>
          </c:xVal>
          <c:yVal>
            <c:numRef>
              <c:f>'03_Anti-Roll Bars'!$C$37:$D$37</c:f>
              <c:numCache>
                <c:formatCode>0.0%</c:formatCode>
                <c:ptCount val="2"/>
                <c:pt idx="0">
                  <c:v>0.62960359463536497</c:v>
                </c:pt>
                <c:pt idx="1">
                  <c:v>0.59570398196428365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Bars'!$D$20:$F$20</c:f>
              <c:numCache>
                <c:formatCode>0.000</c:formatCode>
                <c:ptCount val="3"/>
                <c:pt idx="0">
                  <c:v>0.31822578015032782</c:v>
                </c:pt>
                <c:pt idx="1">
                  <c:v>0.32955942165317886</c:v>
                </c:pt>
                <c:pt idx="2">
                  <c:v>0.34167929431134075</c:v>
                </c:pt>
              </c:numCache>
            </c:numRef>
          </c:xVal>
          <c:yVal>
            <c:numRef>
              <c:f>'03_Anti-Roll Bars'!$D$37:$F$37</c:f>
              <c:numCache>
                <c:formatCode>0.0%</c:formatCode>
                <c:ptCount val="3"/>
                <c:pt idx="0">
                  <c:v>0.59570398196428365</c:v>
                </c:pt>
                <c:pt idx="1">
                  <c:v>0.58130494073235572</c:v>
                </c:pt>
                <c:pt idx="2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Bars'!$F$20:$G$20</c:f>
              <c:numCache>
                <c:formatCode>0.000</c:formatCode>
                <c:ptCount val="2"/>
                <c:pt idx="0">
                  <c:v>0.34167929431134075</c:v>
                </c:pt>
              </c:numCache>
            </c:numRef>
          </c:xVal>
          <c:yVal>
            <c:numRef>
              <c:f>'03_Anti-Roll Bars'!$F$37:$G$37</c:f>
              <c:numCache>
                <c:formatCode>0.0%</c:formatCode>
                <c:ptCount val="2"/>
                <c:pt idx="0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Bars'!$C$21:$D$21</c:f>
              <c:numCache>
                <c:formatCode>0.000</c:formatCode>
                <c:ptCount val="2"/>
                <c:pt idx="0">
                  <c:v>0.29395986442538385</c:v>
                </c:pt>
                <c:pt idx="1">
                  <c:v>0.32110743786674467</c:v>
                </c:pt>
              </c:numCache>
            </c:numRef>
          </c:xVal>
          <c:yVal>
            <c:numRef>
              <c:f>'03_Anti-Roll Bars'!$C$38:$D$38</c:f>
              <c:numCache>
                <c:formatCode>0.0%</c:formatCode>
                <c:ptCount val="2"/>
                <c:pt idx="0">
                  <c:v>0.63482289037815698</c:v>
                </c:pt>
                <c:pt idx="1">
                  <c:v>0.60109831229011923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Bars'!$D$21:$F$21</c:f>
              <c:numCache>
                <c:formatCode>0.000</c:formatCode>
                <c:ptCount val="3"/>
                <c:pt idx="0">
                  <c:v>0.32110743786674467</c:v>
                </c:pt>
                <c:pt idx="1">
                  <c:v>0.33265099265170134</c:v>
                </c:pt>
                <c:pt idx="2">
                  <c:v>0.34500358457541441</c:v>
                </c:pt>
              </c:numCache>
            </c:numRef>
          </c:xVal>
          <c:yVal>
            <c:numRef>
              <c:f>'03_Anti-Roll Bars'!$D$38:$F$38</c:f>
              <c:numCache>
                <c:formatCode>0.0%</c:formatCode>
                <c:ptCount val="3"/>
                <c:pt idx="0">
                  <c:v>0.60109831229011923</c:v>
                </c:pt>
                <c:pt idx="1">
                  <c:v>0.58675811663323263</c:v>
                </c:pt>
                <c:pt idx="2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Bars'!$F$21:$G$21</c:f>
              <c:numCache>
                <c:formatCode>0.000</c:formatCode>
                <c:ptCount val="2"/>
                <c:pt idx="0">
                  <c:v>0.34500358457541441</c:v>
                </c:pt>
              </c:numCache>
            </c:numRef>
          </c:xVal>
          <c:yVal>
            <c:numRef>
              <c:f>'03_Anti-Roll Bars'!$F$38:$G$38</c:f>
              <c:numCache>
                <c:formatCode>0.0%</c:formatCode>
                <c:ptCount val="2"/>
                <c:pt idx="0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Bars'!$C$22:$D$22</c:f>
              <c:numCache>
                <c:formatCode>0.000</c:formatCode>
                <c:ptCount val="2"/>
                <c:pt idx="0">
                  <c:v>0.296612968830679</c:v>
                </c:pt>
                <c:pt idx="1">
                  <c:v>0.32427584609893734</c:v>
                </c:pt>
              </c:numCache>
            </c:numRef>
          </c:xVal>
          <c:yVal>
            <c:numRef>
              <c:f>'03_Anti-Roll Bars'!$C$39:$D$39</c:f>
              <c:numCache>
                <c:formatCode>0.0%</c:formatCode>
                <c:ptCount val="2"/>
                <c:pt idx="0">
                  <c:v>0.64055241883040603</c:v>
                </c:pt>
                <c:pt idx="1">
                  <c:v>0.6070294263548377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Bars'!$D$22:$F$22</c:f>
              <c:numCache>
                <c:formatCode>0.000</c:formatCode>
                <c:ptCount val="3"/>
                <c:pt idx="0">
                  <c:v>0.32427584609893734</c:v>
                </c:pt>
                <c:pt idx="1">
                  <c:v>0.33605250559690547</c:v>
                </c:pt>
                <c:pt idx="2">
                  <c:v>0.34866379988229868</c:v>
                </c:pt>
              </c:numCache>
            </c:numRef>
          </c:xVal>
          <c:yVal>
            <c:numRef>
              <c:f>'03_Anti-Roll Bars'!$D$39:$F$39</c:f>
              <c:numCache>
                <c:formatCode>0.0%</c:formatCode>
                <c:ptCount val="3"/>
                <c:pt idx="0">
                  <c:v>0.6070294263548377</c:v>
                </c:pt>
                <c:pt idx="1">
                  <c:v>0.59275799450379474</c:v>
                </c:pt>
                <c:pt idx="2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Bars'!$F$22:$G$22</c:f>
              <c:numCache>
                <c:formatCode>0.000</c:formatCode>
                <c:ptCount val="2"/>
                <c:pt idx="0">
                  <c:v>0.34866379988229868</c:v>
                </c:pt>
              </c:numCache>
            </c:numRef>
          </c:xVal>
          <c:yVal>
            <c:numRef>
              <c:f>'03_Anti-Roll Bars'!$F$39:$G$39</c:f>
              <c:numCache>
                <c:formatCode>0.0%</c:formatCode>
                <c:ptCount val="2"/>
                <c:pt idx="0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[CELLRANGE]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B13811A-1BDB-4A89-8B93-C2E3A9D2EB85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BC349F3-1C79-42CC-87C0-E7AFD0684869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4BD56BA-5BE1-40F1-A4DC-F66A6BBD630D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21CA28A-8B89-421B-A619-776B8C47785F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2FA4AAA-4586-4C89-ABCE-A4E9E06FB201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5A3174C-A351-4747-B755-F46361E0FB89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F976E57-1D38-42EC-AC1C-C5EB9160299A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90F27B2-CABD-48C1-ADCC-AC4206A13E52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BEDF9FB-2708-4B88-9869-972ECFB7EC3C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79817A2-AAAE-45B1-824E-2AEFA80516F6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3D32E55-4BD1-47EA-B6D0-5D0E3878AC6C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7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image" Target="../media/image7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4" Type="http://schemas.openxmlformats.org/officeDocument/2006/relationships/chart" Target="../charts/chart27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28.xml"/><Relationship Id="rId4" Type="http://schemas.openxmlformats.org/officeDocument/2006/relationships/chart" Target="../charts/chart29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4" Type="http://schemas.openxmlformats.org/officeDocument/2006/relationships/chart" Target="../charts/chart39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4" Type="http://schemas.openxmlformats.org/officeDocument/2006/relationships/chart" Target="../charts/chart43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4" Type="http://schemas.openxmlformats.org/officeDocument/2006/relationships/chart" Target="../charts/chart47.xml"/></Relationships>
</file>

<file path=xl/drawings/_rels/drawing2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CB56A7FF-BD12-4F65-B944-B540C265B0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864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69D5F-E0F0-4BFF-855F-1FB0D7C6A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80FAF0-D301-4E73-8C83-E142E1B1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0D21A7F6-94FC-4CD0-9FE6-B838408F9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483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1B9FC-C8E8-44B9-960C-D4183338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A295D6-9501-44A1-A3D4-E3D8EBBD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33618</xdr:colOff>
      <xdr:row>18</xdr:row>
      <xdr:rowOff>33617</xdr:rowOff>
    </xdr:from>
    <xdr:to>
      <xdr:col>29</xdr:col>
      <xdr:colOff>324971</xdr:colOff>
      <xdr:row>31</xdr:row>
      <xdr:rowOff>168089</xdr:rowOff>
    </xdr:to>
    <xdr:sp macro="" textlink="">
      <xdr:nvSpPr>
        <xdr:cNvPr id="2" name="Arrow: Curved Left 1">
          <a:extLst>
            <a:ext uri="{FF2B5EF4-FFF2-40B4-BE49-F238E27FC236}">
              <a16:creationId xmlns:a16="http://schemas.microsoft.com/office/drawing/2014/main" id="{6B660A2E-F397-4D98-9F48-54FF8972CA51}"/>
            </a:ext>
          </a:extLst>
        </xdr:cNvPr>
        <xdr:cNvSpPr/>
      </xdr:nvSpPr>
      <xdr:spPr>
        <a:xfrm>
          <a:off x="18601765" y="3316941"/>
          <a:ext cx="1154206" cy="2622177"/>
        </a:xfrm>
        <a:prstGeom prst="curvedLeftArrow">
          <a:avLst>
            <a:gd name="adj1" fmla="val 11189"/>
            <a:gd name="adj2" fmla="val 18713"/>
            <a:gd name="adj3" fmla="val 23058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61631</xdr:colOff>
      <xdr:row>26</xdr:row>
      <xdr:rowOff>158002</xdr:rowOff>
    </xdr:from>
    <xdr:to>
      <xdr:col>27</xdr:col>
      <xdr:colOff>397808</xdr:colOff>
      <xdr:row>40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319366</xdr:colOff>
      <xdr:row>27</xdr:row>
      <xdr:rowOff>101973</xdr:rowOff>
    </xdr:from>
    <xdr:to>
      <xdr:col>36</xdr:col>
      <xdr:colOff>50425</xdr:colOff>
      <xdr:row>41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145677</xdr:colOff>
      <xdr:row>14</xdr:row>
      <xdr:rowOff>123264</xdr:rowOff>
    </xdr:from>
    <xdr:to>
      <xdr:col>24</xdr:col>
      <xdr:colOff>361203</xdr:colOff>
      <xdr:row>46</xdr:row>
      <xdr:rowOff>106903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5236" y="2342029"/>
          <a:ext cx="8048438" cy="508231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E50C34-B994-4E80-8982-C2E185113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69B5C-979E-4E3A-9575-D56DAFBF8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24AEF2B-7D21-4A4B-97EF-5C912543645B}"/>
            </a:ext>
          </a:extLst>
        </xdr:cNvPr>
        <xdr:cNvSpPr/>
      </xdr:nvSpPr>
      <xdr:spPr>
        <a:xfrm>
          <a:off x="12573000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232E0F-AC47-48D2-AAD4-CBA08365B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550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6E1B23-0D11-4E02-858E-DC3C9AA14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16650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1E825-6A57-4706-A343-2CFF88977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B083A7-94EC-440F-B8AC-BB20BFA59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162BC8E-9E07-4686-9BF7-7362D20F6905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2442AF-433F-463F-B047-77BFB101A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595ADB-0D0E-4D78-A9B5-9CA4CBA27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7086B-A79E-418A-BE46-2D8B3D999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F7D8DB-26F8-42CB-B721-FAD7E51D4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12AF099-AE98-4373-8BDC-42ECA22B31B8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7B2A8D-CE0D-47DE-8852-6BE89552A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4EF74D-DF19-4048-9BCC-E5DDA1198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5BAC6-E2C4-4699-86E2-44BB3A080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E4F338-DCEC-420A-A91B-EF682A554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E530022-21DB-459B-9DC4-914DC2702B6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8057B7-AFA3-4582-B275-7BC2EBAD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55AC48-810E-4DFC-9E94-33CE748CB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tteo Paganini" id="{3ECB7DFD-9BBB-4DE4-B2B6-E40710673881}" userId="S::matteo.paganini.ext@podium-tech.com::a7ac2d1f-87f1-4e90-98a1-c0f77dbc0e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1-04-26T21:07:48.95" personId="{3ECB7DFD-9BBB-4DE4-B2B6-E40710673881}" id="{C8B858D3-C113-4E97-AA3A-D7396E2D7EB3}">
    <text>From RH values of last run Day2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D27F-4705-43EF-AE60-AB47B2DE4EF9}">
  <sheetPr codeName="Sheet1"/>
  <dimension ref="B2:AG29"/>
  <sheetViews>
    <sheetView showGridLines="0" tabSelected="1" zoomScale="70" zoomScaleNormal="70" workbookViewId="0">
      <selection activeCell="N22" sqref="N22:O23"/>
    </sheetView>
  </sheetViews>
  <sheetFormatPr defaultColWidth="9.140625" defaultRowHeight="15" x14ac:dyDescent="0.25"/>
  <cols>
    <col min="1" max="1" width="3.7109375" style="380" customWidth="1"/>
    <col min="2" max="2" width="13.42578125" style="380" bestFit="1" customWidth="1"/>
    <col min="3" max="3" width="20.5703125" style="168" customWidth="1"/>
    <col min="4" max="4" width="13.140625" style="380" customWidth="1"/>
    <col min="5" max="5" width="10.7109375" style="380" customWidth="1"/>
    <col min="6" max="10" width="10.28515625" style="380" customWidth="1"/>
    <col min="11" max="11" width="11.28515625" style="380" customWidth="1"/>
    <col min="12" max="13" width="7.7109375" style="380" customWidth="1"/>
    <col min="14" max="14" width="10" style="380" customWidth="1"/>
    <col min="15" max="15" width="10.140625" style="380" customWidth="1"/>
    <col min="16" max="17" width="9.140625" style="380"/>
    <col min="18" max="20" width="7.7109375" style="380" customWidth="1"/>
    <col min="21" max="21" width="8.42578125" style="380" customWidth="1"/>
    <col min="22" max="25" width="7.7109375" style="380" customWidth="1"/>
    <col min="26" max="27" width="9.140625" style="380"/>
    <col min="28" max="28" width="17" style="380" customWidth="1"/>
    <col min="29" max="29" width="10.28515625" style="380" customWidth="1"/>
    <col min="30" max="31" width="9.140625" style="380"/>
    <col min="32" max="32" width="12.85546875" style="380" bestFit="1" customWidth="1"/>
    <col min="33" max="16384" width="9.140625" style="380"/>
  </cols>
  <sheetData>
    <row r="2" spans="2:33" x14ac:dyDescent="0.25">
      <c r="B2" s="383" t="s">
        <v>500</v>
      </c>
      <c r="C2" s="1079" t="s">
        <v>497</v>
      </c>
      <c r="D2" s="80" t="s">
        <v>503</v>
      </c>
      <c r="E2" s="624" t="s">
        <v>501</v>
      </c>
      <c r="F2" s="172"/>
      <c r="G2" s="600" t="s">
        <v>824</v>
      </c>
      <c r="H2" s="172"/>
      <c r="I2" s="172"/>
      <c r="J2" s="383" t="s">
        <v>769</v>
      </c>
      <c r="K2" s="172"/>
      <c r="L2" s="989" t="s">
        <v>777</v>
      </c>
      <c r="M2" s="988"/>
      <c r="N2" s="383" t="s">
        <v>770</v>
      </c>
      <c r="O2" s="72"/>
      <c r="P2" s="172"/>
      <c r="Q2" s="172"/>
      <c r="R2" s="811" t="s">
        <v>620</v>
      </c>
      <c r="S2" s="172"/>
      <c r="T2" s="172"/>
      <c r="U2" s="172"/>
      <c r="V2" s="172"/>
      <c r="W2" s="172"/>
      <c r="X2" s="80" t="s">
        <v>13</v>
      </c>
      <c r="Y2" s="624" t="s">
        <v>17</v>
      </c>
      <c r="Z2" s="172"/>
      <c r="AA2" s="172"/>
      <c r="AB2" s="383" t="s">
        <v>827</v>
      </c>
      <c r="AC2" s="172"/>
      <c r="AD2" s="172"/>
      <c r="AE2" s="72"/>
    </row>
    <row r="3" spans="2:33" ht="15.75" x14ac:dyDescent="0.25">
      <c r="B3" s="94">
        <v>76</v>
      </c>
      <c r="C3" s="1082">
        <v>241</v>
      </c>
      <c r="D3" s="1062">
        <v>0.5</v>
      </c>
      <c r="E3" s="382">
        <f>C3+D3</f>
        <v>241.5</v>
      </c>
      <c r="F3" s="253" t="s">
        <v>821</v>
      </c>
      <c r="G3" s="1065">
        <v>-1.2</v>
      </c>
      <c r="H3" s="381" t="s">
        <v>825</v>
      </c>
      <c r="I3" s="381"/>
      <c r="J3" s="94" t="s">
        <v>324</v>
      </c>
      <c r="K3" s="381"/>
      <c r="L3" s="382"/>
      <c r="N3" s="94" t="s">
        <v>13</v>
      </c>
      <c r="O3" s="382" t="s">
        <v>773</v>
      </c>
      <c r="P3" s="381"/>
      <c r="Q3" s="381"/>
      <c r="R3" s="94" t="s">
        <v>622</v>
      </c>
      <c r="S3" s="381"/>
      <c r="T3" s="381"/>
      <c r="U3" s="381"/>
      <c r="X3" s="163">
        <v>0.70399999999999996</v>
      </c>
      <c r="Y3" s="808">
        <v>0.44</v>
      </c>
      <c r="AA3" s="381"/>
      <c r="AB3" s="94" t="s">
        <v>13</v>
      </c>
      <c r="AC3" s="381">
        <v>617</v>
      </c>
      <c r="AD3" s="381">
        <v>615</v>
      </c>
      <c r="AE3" s="382">
        <v>613</v>
      </c>
    </row>
    <row r="4" spans="2:33" x14ac:dyDescent="0.25">
      <c r="B4" s="81" t="s">
        <v>499</v>
      </c>
      <c r="C4" s="1078" t="s">
        <v>496</v>
      </c>
      <c r="D4" s="82" t="s">
        <v>503</v>
      </c>
      <c r="E4" s="647" t="s">
        <v>501</v>
      </c>
      <c r="F4" s="381"/>
      <c r="G4" s="1065"/>
      <c r="H4" s="381"/>
      <c r="I4" s="381"/>
      <c r="J4" s="986" t="s">
        <v>13</v>
      </c>
      <c r="K4" s="568"/>
      <c r="L4" s="382">
        <v>513.6</v>
      </c>
      <c r="N4" s="95" t="s">
        <v>17</v>
      </c>
      <c r="O4" s="97" t="s">
        <v>774</v>
      </c>
      <c r="P4" s="381"/>
      <c r="Q4" s="381"/>
      <c r="R4" s="94" t="s">
        <v>621</v>
      </c>
      <c r="S4" s="381"/>
      <c r="T4" s="381"/>
      <c r="U4" s="381"/>
      <c r="X4" s="809">
        <v>0.28000000000000003</v>
      </c>
      <c r="Y4" s="810">
        <v>0.49</v>
      </c>
      <c r="AA4" s="381"/>
      <c r="AB4" s="95"/>
      <c r="AC4" s="96">
        <v>11.9</v>
      </c>
      <c r="AD4" s="96">
        <v>15.2</v>
      </c>
      <c r="AE4" s="97">
        <v>18.399999999999999</v>
      </c>
      <c r="AF4" s="380">
        <f>AE4-AD4</f>
        <v>3.1999999999999993</v>
      </c>
    </row>
    <row r="5" spans="2:33" ht="15.75" x14ac:dyDescent="0.25">
      <c r="B5" s="653">
        <v>96</v>
      </c>
      <c r="C5" s="1083">
        <v>293.89999999999998</v>
      </c>
      <c r="D5" s="1064">
        <v>-4.5</v>
      </c>
      <c r="E5" s="655">
        <f>C5+D5</f>
        <v>289.39999999999998</v>
      </c>
      <c r="F5" s="253" t="s">
        <v>822</v>
      </c>
      <c r="G5" s="1066">
        <v>-1.9</v>
      </c>
      <c r="H5" s="381" t="s">
        <v>826</v>
      </c>
      <c r="I5" s="381"/>
      <c r="J5" s="987" t="s">
        <v>17</v>
      </c>
      <c r="K5" s="96"/>
      <c r="L5" s="97">
        <v>621.6</v>
      </c>
      <c r="M5" s="381"/>
      <c r="N5" s="381"/>
      <c r="O5" s="381"/>
      <c r="P5" s="381"/>
      <c r="Q5" s="381"/>
      <c r="R5" s="94" t="s">
        <v>623</v>
      </c>
      <c r="S5" s="381"/>
      <c r="T5" s="381"/>
      <c r="U5" s="381"/>
      <c r="X5" s="971">
        <v>5</v>
      </c>
      <c r="Y5" s="972">
        <v>3.6</v>
      </c>
      <c r="AA5" s="381"/>
      <c r="AB5" s="94" t="s">
        <v>17</v>
      </c>
      <c r="AC5" s="381">
        <v>357</v>
      </c>
      <c r="AD5" s="381">
        <v>359</v>
      </c>
      <c r="AE5" s="382">
        <v>361</v>
      </c>
      <c r="AF5" s="540"/>
    </row>
    <row r="6" spans="2:33" x14ac:dyDescent="0.25">
      <c r="B6" s="955"/>
      <c r="C6" s="1080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95" t="s">
        <v>767</v>
      </c>
      <c r="S6" s="96"/>
      <c r="T6" s="96"/>
      <c r="U6" s="96"/>
      <c r="V6" s="96"/>
      <c r="W6" s="96"/>
      <c r="X6" s="812">
        <v>0</v>
      </c>
      <c r="Y6" s="652">
        <v>0.7</v>
      </c>
      <c r="AA6" s="381"/>
      <c r="AB6" s="95"/>
      <c r="AC6" s="96">
        <v>16.899999999999999</v>
      </c>
      <c r="AD6" s="96">
        <v>20.399999999999999</v>
      </c>
      <c r="AE6" s="97">
        <v>23.8</v>
      </c>
      <c r="AF6" s="380">
        <f>AE6-AD6</f>
        <v>3.4000000000000021</v>
      </c>
    </row>
    <row r="7" spans="2:33" x14ac:dyDescent="0.25">
      <c r="B7" s="94"/>
      <c r="C7" s="399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  <c r="AA7" s="381"/>
      <c r="AB7" s="381"/>
      <c r="AC7" s="381"/>
      <c r="AE7" s="382"/>
    </row>
    <row r="8" spans="2:33" x14ac:dyDescent="0.25">
      <c r="B8" s="658"/>
      <c r="C8" s="1081" t="s">
        <v>336</v>
      </c>
      <c r="D8" s="660" t="s">
        <v>502</v>
      </c>
      <c r="E8" s="661"/>
      <c r="F8" s="660" t="s">
        <v>519</v>
      </c>
      <c r="G8" s="662"/>
      <c r="H8" s="660" t="s">
        <v>823</v>
      </c>
      <c r="I8" s="662"/>
      <c r="J8" s="662" t="s">
        <v>23</v>
      </c>
      <c r="K8" s="661"/>
      <c r="L8" s="660" t="s">
        <v>516</v>
      </c>
      <c r="M8" s="661"/>
      <c r="N8" s="660" t="s">
        <v>772</v>
      </c>
      <c r="O8" s="662"/>
      <c r="P8" s="662" t="s">
        <v>771</v>
      </c>
      <c r="Q8" s="661"/>
      <c r="R8" s="660" t="s">
        <v>517</v>
      </c>
      <c r="S8" s="662"/>
      <c r="T8" s="662" t="s">
        <v>613</v>
      </c>
      <c r="U8" s="661"/>
      <c r="V8" s="660" t="s">
        <v>518</v>
      </c>
      <c r="W8" s="662"/>
      <c r="X8" s="662" t="s">
        <v>582</v>
      </c>
      <c r="Y8" s="661"/>
      <c r="Z8" s="660" t="s">
        <v>504</v>
      </c>
      <c r="AA8" s="661"/>
      <c r="AB8" s="660" t="s">
        <v>775</v>
      </c>
      <c r="AC8" s="661" t="s">
        <v>776</v>
      </c>
      <c r="AD8" s="662" t="s">
        <v>505</v>
      </c>
      <c r="AE8" s="661" t="s">
        <v>506</v>
      </c>
      <c r="AF8" s="656"/>
      <c r="AG8" s="656"/>
    </row>
    <row r="9" spans="2:33" x14ac:dyDescent="0.25">
      <c r="B9" s="94"/>
      <c r="C9" s="399" t="s">
        <v>831</v>
      </c>
      <c r="D9" s="670"/>
      <c r="E9" s="657"/>
      <c r="F9" s="1071"/>
      <c r="G9" s="1072"/>
      <c r="H9" s="1077"/>
      <c r="I9" s="1077"/>
      <c r="J9" s="563"/>
      <c r="K9" s="564"/>
      <c r="L9" s="552"/>
      <c r="M9" s="564"/>
      <c r="N9" s="552"/>
      <c r="O9" s="563"/>
      <c r="P9" s="563"/>
      <c r="Q9" s="564"/>
      <c r="R9" s="974"/>
      <c r="S9" s="563"/>
      <c r="T9" s="563"/>
      <c r="U9" s="564"/>
      <c r="V9" s="552"/>
      <c r="W9" s="563"/>
      <c r="X9" s="563"/>
      <c r="Y9" s="564"/>
      <c r="Z9" s="552"/>
      <c r="AA9" s="564"/>
      <c r="AB9" s="670"/>
      <c r="AC9" s="657"/>
      <c r="AD9" s="92"/>
      <c r="AE9" s="657"/>
    </row>
    <row r="10" spans="2:33" x14ac:dyDescent="0.25">
      <c r="B10" s="819"/>
      <c r="C10" s="1078"/>
      <c r="D10" s="865">
        <v>251.61</v>
      </c>
      <c r="E10" s="866">
        <v>251.47</v>
      </c>
      <c r="F10" s="1067">
        <f>$B$3-(D10-$E$3)</f>
        <v>65.889999999999986</v>
      </c>
      <c r="G10" s="1068">
        <f>$B$3-(E10-$E$3)</f>
        <v>66.03</v>
      </c>
      <c r="H10" s="1073">
        <f>F10+$G$3</f>
        <v>64.689999999999984</v>
      </c>
      <c r="I10" s="1074">
        <f>G10+$G$3</f>
        <v>64.83</v>
      </c>
      <c r="J10" s="979" t="s">
        <v>832</v>
      </c>
      <c r="K10" s="979" t="s">
        <v>832</v>
      </c>
      <c r="L10" s="982">
        <v>27.9</v>
      </c>
      <c r="M10" s="978">
        <v>27.5</v>
      </c>
      <c r="N10" s="982"/>
      <c r="O10" s="981"/>
      <c r="P10" s="984">
        <f>87.4-L10-N10</f>
        <v>59.500000000000007</v>
      </c>
      <c r="Q10" s="985">
        <f>87.4-M10-O10</f>
        <v>59.900000000000006</v>
      </c>
      <c r="R10" s="674">
        <v>-2.8</v>
      </c>
      <c r="S10" s="1106">
        <v>-2.6</v>
      </c>
      <c r="T10" s="1106">
        <v>7.2</v>
      </c>
      <c r="U10" s="977">
        <v>8.5</v>
      </c>
      <c r="V10" s="674">
        <v>2</v>
      </c>
      <c r="W10" s="1106">
        <v>2.4</v>
      </c>
      <c r="X10" s="979">
        <v>13.55</v>
      </c>
      <c r="Y10" s="980">
        <v>13.24</v>
      </c>
      <c r="Z10" s="982">
        <v>255.2</v>
      </c>
      <c r="AA10" s="978">
        <v>255.3</v>
      </c>
      <c r="AB10" s="674">
        <v>47.3</v>
      </c>
      <c r="AC10" s="985">
        <f>AB10-(L10+M10)/2/0.8*0.9</f>
        <v>16.137499999999996</v>
      </c>
      <c r="AD10" s="778">
        <f>(Z10+AA10)/(Z10+AA10+Z11+AA11)*100</f>
        <v>44.812148876404493</v>
      </c>
      <c r="AE10" s="779">
        <f>(Z10+AA11)/(Z10+AA10+Z11+AA11)*100</f>
        <v>49.455758426966291</v>
      </c>
      <c r="AF10" s="380" t="s">
        <v>829</v>
      </c>
    </row>
    <row r="11" spans="2:33" x14ac:dyDescent="0.25">
      <c r="B11" s="820"/>
      <c r="C11" s="406"/>
      <c r="D11" s="1063">
        <v>299.12</v>
      </c>
      <c r="E11" s="976">
        <v>299.07</v>
      </c>
      <c r="F11" s="1069">
        <f>$B$5-(D11-$E$5)</f>
        <v>86.279999999999973</v>
      </c>
      <c r="G11" s="1070">
        <f>$B$5-(E11-$E$5)</f>
        <v>86.329999999999984</v>
      </c>
      <c r="H11" s="1075">
        <f>F11+$G$5</f>
        <v>84.379999999999967</v>
      </c>
      <c r="I11" s="1076">
        <f>G11+$G$5</f>
        <v>84.429999999999978</v>
      </c>
      <c r="J11" s="979" t="s">
        <v>833</v>
      </c>
      <c r="K11" s="979" t="s">
        <v>830</v>
      </c>
      <c r="L11" s="982">
        <v>15.86</v>
      </c>
      <c r="M11" s="978">
        <v>14.2</v>
      </c>
      <c r="N11" s="982"/>
      <c r="O11" s="981"/>
      <c r="P11" s="984">
        <f>96.4-L11-N11</f>
        <v>80.540000000000006</v>
      </c>
      <c r="Q11" s="985">
        <f>96.4-M11-O11</f>
        <v>82.2</v>
      </c>
      <c r="R11" s="983">
        <v>-2.2000000000000002</v>
      </c>
      <c r="S11" s="979">
        <v>-2.2000000000000002</v>
      </c>
      <c r="T11" s="1106">
        <v>4.9000000000000004</v>
      </c>
      <c r="U11" s="977">
        <v>4.6500000000000004</v>
      </c>
      <c r="V11" s="674">
        <v>1</v>
      </c>
      <c r="W11" s="1106">
        <v>0.9</v>
      </c>
      <c r="X11" s="981">
        <v>12.8</v>
      </c>
      <c r="Y11" s="977">
        <v>12.8</v>
      </c>
      <c r="Z11" s="982">
        <v>320.5</v>
      </c>
      <c r="AA11" s="978">
        <v>308.2</v>
      </c>
      <c r="AB11" s="674">
        <v>42</v>
      </c>
      <c r="AC11" s="985">
        <f>AB11-(L11+M11)/2/0.8*0.9</f>
        <v>25.091250000000002</v>
      </c>
      <c r="AD11" s="800"/>
      <c r="AE11" s="688"/>
    </row>
    <row r="12" spans="2:33" x14ac:dyDescent="0.25">
      <c r="B12" s="94"/>
      <c r="C12" s="399" t="s">
        <v>834</v>
      </c>
      <c r="D12" s="670"/>
      <c r="E12" s="657"/>
      <c r="F12" s="1071"/>
      <c r="G12" s="1072"/>
      <c r="H12" s="1077"/>
      <c r="I12" s="1077"/>
      <c r="J12" s="563"/>
      <c r="K12" s="564"/>
      <c r="L12" s="552"/>
      <c r="M12" s="564"/>
      <c r="N12" s="552"/>
      <c r="O12" s="563"/>
      <c r="P12" s="563"/>
      <c r="Q12" s="564"/>
      <c r="R12" s="974"/>
      <c r="S12" s="563"/>
      <c r="T12" s="563"/>
      <c r="U12" s="564"/>
      <c r="V12" s="552"/>
      <c r="W12" s="563"/>
      <c r="X12" s="563"/>
      <c r="Y12" s="564"/>
      <c r="Z12" s="552"/>
      <c r="AA12" s="564"/>
      <c r="AB12" s="670"/>
      <c r="AC12" s="657"/>
      <c r="AD12" s="92"/>
      <c r="AE12" s="657"/>
    </row>
    <row r="13" spans="2:33" x14ac:dyDescent="0.25">
      <c r="B13" s="819"/>
      <c r="C13" s="1078"/>
      <c r="D13" s="865">
        <v>251.61</v>
      </c>
      <c r="E13" s="866">
        <v>251.47</v>
      </c>
      <c r="F13" s="1084">
        <f>$B$3-(D13-$E$3)</f>
        <v>65.889999999999986</v>
      </c>
      <c r="G13" s="1085">
        <f>$B$3-(E13-$E$3)</f>
        <v>66.03</v>
      </c>
      <c r="H13" s="1086">
        <f>F13+$G$3</f>
        <v>64.689999999999984</v>
      </c>
      <c r="I13" s="1087">
        <f>G13+$G$3</f>
        <v>64.83</v>
      </c>
      <c r="J13" s="979" t="s">
        <v>832</v>
      </c>
      <c r="K13" s="979" t="s">
        <v>832</v>
      </c>
      <c r="L13" s="982"/>
      <c r="M13" s="978"/>
      <c r="N13" s="982"/>
      <c r="O13" s="981"/>
      <c r="P13" s="984">
        <f>87.4-L13-N13</f>
        <v>87.4</v>
      </c>
      <c r="Q13" s="985">
        <f>87.4-M13-O13</f>
        <v>87.4</v>
      </c>
      <c r="R13" s="674">
        <v>-2.8</v>
      </c>
      <c r="S13" s="1106">
        <v>-2.6</v>
      </c>
      <c r="T13" s="1106">
        <v>7.2</v>
      </c>
      <c r="U13" s="977">
        <v>8.5</v>
      </c>
      <c r="V13" s="674">
        <v>2</v>
      </c>
      <c r="W13" s="1106">
        <v>2</v>
      </c>
      <c r="X13" s="979">
        <v>13.55</v>
      </c>
      <c r="Y13" s="980">
        <v>13.14</v>
      </c>
      <c r="Z13" s="982"/>
      <c r="AA13" s="978"/>
      <c r="AB13" s="674">
        <v>47.3</v>
      </c>
      <c r="AC13" s="985">
        <v>47.3</v>
      </c>
      <c r="AD13" s="778" t="e">
        <f>(Z13+AA13)/(Z13+AA13+Z14+AA14)*100</f>
        <v>#DIV/0!</v>
      </c>
      <c r="AE13" s="779" t="e">
        <f>(Z13+AA14)/(Z13+AA13+Z14+AA14)*100</f>
        <v>#DIV/0!</v>
      </c>
    </row>
    <row r="14" spans="2:33" x14ac:dyDescent="0.25">
      <c r="B14" s="820"/>
      <c r="C14" s="406"/>
      <c r="D14" s="975">
        <v>299.12</v>
      </c>
      <c r="E14" s="976">
        <v>299.07</v>
      </c>
      <c r="F14" s="1088">
        <f>$B$5-(D14-$E$5)</f>
        <v>86.279999999999973</v>
      </c>
      <c r="G14" s="1089">
        <f>$B$5-(E14-$E$5)</f>
        <v>86.329999999999984</v>
      </c>
      <c r="H14" s="1090">
        <f>F14+$G$5</f>
        <v>84.379999999999967</v>
      </c>
      <c r="I14" s="1091">
        <f>G14+$G$5</f>
        <v>84.429999999999978</v>
      </c>
      <c r="J14" s="979" t="s">
        <v>833</v>
      </c>
      <c r="K14" s="979" t="s">
        <v>830</v>
      </c>
      <c r="L14" s="982"/>
      <c r="M14" s="978"/>
      <c r="N14" s="982"/>
      <c r="O14" s="981"/>
      <c r="P14" s="984">
        <f>96.4-L14-N14</f>
        <v>96.4</v>
      </c>
      <c r="Q14" s="985">
        <f>96.4-M14-O14</f>
        <v>96.4</v>
      </c>
      <c r="R14" s="983">
        <v>-2.2000000000000002</v>
      </c>
      <c r="S14" s="979">
        <v>-2.2000000000000002</v>
      </c>
      <c r="T14" s="1106">
        <v>4.9000000000000004</v>
      </c>
      <c r="U14" s="977">
        <v>4.6500000000000004</v>
      </c>
      <c r="V14" s="674">
        <v>1</v>
      </c>
      <c r="W14" s="1106">
        <v>1</v>
      </c>
      <c r="X14" s="981">
        <v>12.8</v>
      </c>
      <c r="Y14" s="977">
        <v>12.8</v>
      </c>
      <c r="Z14" s="982"/>
      <c r="AA14" s="978"/>
      <c r="AB14" s="674">
        <v>42</v>
      </c>
      <c r="AC14" s="985">
        <f>AB14-(L14+M14)/2/0.8*0.9</f>
        <v>42</v>
      </c>
      <c r="AD14" s="800"/>
      <c r="AE14" s="688"/>
      <c r="AF14" s="380" t="s">
        <v>829</v>
      </c>
    </row>
    <row r="15" spans="2:33" x14ac:dyDescent="0.25">
      <c r="B15" s="94"/>
      <c r="C15" s="399" t="s">
        <v>835</v>
      </c>
      <c r="D15" s="670"/>
      <c r="E15" s="657"/>
      <c r="F15" s="1071"/>
      <c r="G15" s="1072"/>
      <c r="H15" s="1077"/>
      <c r="I15" s="1077"/>
      <c r="J15" s="563"/>
      <c r="K15" s="564"/>
      <c r="L15" s="552"/>
      <c r="M15" s="564"/>
      <c r="N15" s="552"/>
      <c r="O15" s="563"/>
      <c r="P15" s="563"/>
      <c r="Q15" s="564"/>
      <c r="R15" s="974"/>
      <c r="S15" s="563"/>
      <c r="T15" s="563"/>
      <c r="U15" s="564"/>
      <c r="V15" s="552"/>
      <c r="W15" s="563"/>
      <c r="X15" s="563"/>
      <c r="Y15" s="564"/>
      <c r="Z15" s="552"/>
      <c r="AA15" s="564"/>
      <c r="AB15" s="670"/>
      <c r="AC15" s="657"/>
      <c r="AD15" s="92"/>
      <c r="AE15" s="657"/>
    </row>
    <row r="16" spans="2:33" x14ac:dyDescent="0.25">
      <c r="B16" s="819"/>
      <c r="C16" s="1078"/>
      <c r="D16" s="865"/>
      <c r="E16" s="866"/>
      <c r="F16" s="1084">
        <f>$B$3-(D16-$E$3)</f>
        <v>317.5</v>
      </c>
      <c r="G16" s="1085">
        <f>$B$3-(E16-$E$3)</f>
        <v>317.5</v>
      </c>
      <c r="H16" s="1086">
        <f>F16+$G$3</f>
        <v>316.3</v>
      </c>
      <c r="I16" s="1087">
        <f>G16+$G$3</f>
        <v>316.3</v>
      </c>
      <c r="J16" s="979" t="s">
        <v>836</v>
      </c>
      <c r="K16" s="979" t="s">
        <v>836</v>
      </c>
      <c r="L16" s="982"/>
      <c r="M16" s="978"/>
      <c r="N16" s="982"/>
      <c r="O16" s="981"/>
      <c r="P16" s="984">
        <f>87.4-L16-N16</f>
        <v>87.4</v>
      </c>
      <c r="Q16" s="985">
        <f>87.4-M16-O16</f>
        <v>87.4</v>
      </c>
      <c r="R16" s="674"/>
      <c r="S16" s="1100"/>
      <c r="T16" s="1100"/>
      <c r="U16" s="977"/>
      <c r="V16" s="674"/>
      <c r="W16" s="1100"/>
      <c r="X16" s="979"/>
      <c r="Y16" s="980"/>
      <c r="Z16" s="982"/>
      <c r="AA16" s="978"/>
      <c r="AB16" s="674"/>
      <c r="AC16" s="985">
        <f>AB16-(L16+M16)/2/0.8*0.9</f>
        <v>0</v>
      </c>
      <c r="AD16" s="778" t="e">
        <f>(Z16+AA16)/(Z16+AA16+Z17+AA17)*100</f>
        <v>#DIV/0!</v>
      </c>
      <c r="AE16" s="779" t="e">
        <f>(Z16+AA17)/(Z16+AA16+Z17+AA17)*100</f>
        <v>#DIV/0!</v>
      </c>
    </row>
    <row r="17" spans="2:33" x14ac:dyDescent="0.25">
      <c r="B17" s="820"/>
      <c r="C17" s="406"/>
      <c r="D17" s="975"/>
      <c r="E17" s="976"/>
      <c r="F17" s="1088">
        <f>$B$5-(D17-$E$5)</f>
        <v>385.4</v>
      </c>
      <c r="G17" s="1089">
        <f>$B$5-(E17-$E$5)</f>
        <v>385.4</v>
      </c>
      <c r="H17" s="1090">
        <f>F17+$G$5</f>
        <v>383.5</v>
      </c>
      <c r="I17" s="1091">
        <f>G17+$G$5</f>
        <v>383.5</v>
      </c>
      <c r="J17" s="979" t="s">
        <v>837</v>
      </c>
      <c r="K17" s="979" t="s">
        <v>838</v>
      </c>
      <c r="L17" s="982"/>
      <c r="M17" s="978"/>
      <c r="N17" s="982"/>
      <c r="O17" s="981"/>
      <c r="P17" s="984">
        <f>96.4-L17-N17</f>
        <v>96.4</v>
      </c>
      <c r="Q17" s="985">
        <f>96.4-M17-O17</f>
        <v>96.4</v>
      </c>
      <c r="R17" s="983"/>
      <c r="S17" s="979"/>
      <c r="T17" s="1100"/>
      <c r="U17" s="977"/>
      <c r="V17" s="674"/>
      <c r="W17" s="1100"/>
      <c r="X17" s="981"/>
      <c r="Y17" s="977"/>
      <c r="Z17" s="982"/>
      <c r="AA17" s="978"/>
      <c r="AB17" s="674"/>
      <c r="AC17" s="985">
        <f>AB17-(L17+M17)/2/0.8*0.9</f>
        <v>0</v>
      </c>
      <c r="AD17" s="800"/>
      <c r="AE17" s="688"/>
      <c r="AF17" s="380" t="s">
        <v>829</v>
      </c>
    </row>
    <row r="18" spans="2:33" x14ac:dyDescent="0.25">
      <c r="B18" s="94"/>
      <c r="C18" s="1078" t="s">
        <v>839</v>
      </c>
      <c r="D18" s="670"/>
      <c r="E18" s="657"/>
      <c r="F18" s="1071"/>
      <c r="G18" s="1072"/>
      <c r="H18" s="1077"/>
      <c r="I18" s="1077"/>
      <c r="J18" s="563"/>
      <c r="K18" s="564"/>
      <c r="L18" s="552"/>
      <c r="M18" s="564"/>
      <c r="N18" s="552"/>
      <c r="O18" s="563"/>
      <c r="P18" s="563"/>
      <c r="Q18" s="564"/>
      <c r="R18" s="974"/>
      <c r="S18" s="563"/>
      <c r="T18" s="563"/>
      <c r="U18" s="564"/>
      <c r="V18" s="552"/>
      <c r="W18" s="563"/>
      <c r="X18" s="563"/>
      <c r="Y18" s="564"/>
      <c r="Z18" s="552"/>
      <c r="AA18" s="564"/>
      <c r="AB18" s="670"/>
      <c r="AC18" s="657"/>
      <c r="AD18" s="92"/>
      <c r="AE18" s="657"/>
    </row>
    <row r="19" spans="2:33" x14ac:dyDescent="0.25">
      <c r="B19" s="819"/>
      <c r="C19" s="1078"/>
      <c r="D19" s="865">
        <v>246.88</v>
      </c>
      <c r="E19" s="866">
        <v>246.94</v>
      </c>
      <c r="F19" s="1067">
        <f>$B$3-(D19-$E$3)</f>
        <v>70.62</v>
      </c>
      <c r="G19" s="1068">
        <f>$B$3-(E19-$E$3)</f>
        <v>70.56</v>
      </c>
      <c r="H19" s="1073">
        <f>F19+$G$3</f>
        <v>69.42</v>
      </c>
      <c r="I19" s="1074">
        <f>G19+$G$3</f>
        <v>69.36</v>
      </c>
      <c r="J19" s="1108" t="s">
        <v>840</v>
      </c>
      <c r="K19" s="1108" t="s">
        <v>841</v>
      </c>
      <c r="L19" s="982"/>
      <c r="M19" s="978"/>
      <c r="N19" s="982"/>
      <c r="O19" s="981"/>
      <c r="P19" s="984">
        <f>87.4-L19-N19</f>
        <v>87.4</v>
      </c>
      <c r="Q19" s="985">
        <f>87.4-M19-O19</f>
        <v>87.4</v>
      </c>
      <c r="R19" s="674">
        <v>-2.8</v>
      </c>
      <c r="S19" s="1100">
        <v>-2.6</v>
      </c>
      <c r="T19" s="1100"/>
      <c r="U19" s="977"/>
      <c r="V19" s="674">
        <v>2.2000000000000002</v>
      </c>
      <c r="W19" s="1100">
        <v>1.9</v>
      </c>
      <c r="X19" s="979"/>
      <c r="Y19" s="980"/>
      <c r="Z19" s="982">
        <v>259.5</v>
      </c>
      <c r="AA19" s="978">
        <v>252.7</v>
      </c>
      <c r="AB19" s="674"/>
      <c r="AC19" s="985">
        <f>AB19-(L19+M19)/2/0.8*0.9</f>
        <v>0</v>
      </c>
      <c r="AD19" s="778">
        <f>(Z19+AA19)/(Z19+AA19+Z20+AA20)*100</f>
        <v>44.890446976336548</v>
      </c>
      <c r="AE19" s="779">
        <f>(Z19+AA20)/(Z19+AA19+Z20+AA20)*100</f>
        <v>50.21910604732691</v>
      </c>
    </row>
    <row r="20" spans="2:33" x14ac:dyDescent="0.25">
      <c r="B20" s="820"/>
      <c r="C20" s="1092"/>
      <c r="D20" s="975">
        <v>295.14</v>
      </c>
      <c r="E20" s="976">
        <v>295.13</v>
      </c>
      <c r="F20" s="1069">
        <f>$B$5-(D20-$E$5)</f>
        <v>90.259999999999991</v>
      </c>
      <c r="G20" s="1070">
        <f>$B$5-(E20-$E$5)</f>
        <v>90.269999999999982</v>
      </c>
      <c r="H20" s="1075">
        <f>F20+$G$5</f>
        <v>88.359999999999985</v>
      </c>
      <c r="I20" s="1076">
        <f>G20+$G$5</f>
        <v>88.369999999999976</v>
      </c>
      <c r="J20" s="1108" t="s">
        <v>842</v>
      </c>
      <c r="K20" s="1108" t="s">
        <v>842</v>
      </c>
      <c r="L20" s="982"/>
      <c r="M20" s="978"/>
      <c r="N20" s="982"/>
      <c r="O20" s="981"/>
      <c r="P20" s="984">
        <f>96.4-L20-N20</f>
        <v>96.4</v>
      </c>
      <c r="Q20" s="985">
        <f>96.4-M20-O20</f>
        <v>96.4</v>
      </c>
      <c r="R20" s="983">
        <v>-2.2000000000000002</v>
      </c>
      <c r="S20" s="979">
        <v>-2.2000000000000002</v>
      </c>
      <c r="T20" s="1100"/>
      <c r="U20" s="977"/>
      <c r="V20" s="674">
        <v>-1</v>
      </c>
      <c r="W20" s="1100">
        <v>-1.4</v>
      </c>
      <c r="X20" s="981"/>
      <c r="Y20" s="977"/>
      <c r="Z20" s="982">
        <v>315.3</v>
      </c>
      <c r="AA20" s="978">
        <v>313.5</v>
      </c>
      <c r="AB20" s="674"/>
      <c r="AC20" s="985">
        <f>AB20-(L20+M20)/2/0.8*0.9</f>
        <v>0</v>
      </c>
      <c r="AD20" s="800"/>
      <c r="AE20" s="688"/>
    </row>
    <row r="21" spans="2:33" x14ac:dyDescent="0.25">
      <c r="B21" s="94"/>
      <c r="C21" s="1078" t="s">
        <v>843</v>
      </c>
      <c r="D21" s="670"/>
      <c r="E21" s="657"/>
      <c r="F21" s="1071"/>
      <c r="G21" s="1072"/>
      <c r="H21" s="1077"/>
      <c r="I21" s="1077"/>
      <c r="J21" s="563"/>
      <c r="K21" s="564"/>
      <c r="L21" s="552"/>
      <c r="M21" s="564"/>
      <c r="N21" s="552"/>
      <c r="O21" s="563"/>
      <c r="P21" s="563"/>
      <c r="Q21" s="564"/>
      <c r="R21" s="974"/>
      <c r="S21" s="563"/>
      <c r="T21" s="563"/>
      <c r="U21" s="564"/>
      <c r="V21" s="552"/>
      <c r="W21" s="563"/>
      <c r="X21" s="563"/>
      <c r="Y21" s="564"/>
      <c r="Z21" s="552"/>
      <c r="AA21" s="564"/>
      <c r="AB21" s="670"/>
      <c r="AC21" s="657"/>
      <c r="AD21" s="92"/>
      <c r="AE21" s="657"/>
      <c r="AF21" s="380" t="s">
        <v>845</v>
      </c>
      <c r="AG21" s="380" t="s">
        <v>844</v>
      </c>
    </row>
    <row r="22" spans="2:33" x14ac:dyDescent="0.25">
      <c r="B22" s="819"/>
      <c r="C22" s="1078"/>
      <c r="D22" s="865">
        <v>249.9</v>
      </c>
      <c r="E22" s="866">
        <v>249.98</v>
      </c>
      <c r="F22" s="1067">
        <f>$B$3-(D22-$E$3)</f>
        <v>67.599999999999994</v>
      </c>
      <c r="G22" s="1068">
        <f>$B$3-(E22-$E$3)</f>
        <v>67.52000000000001</v>
      </c>
      <c r="H22" s="1073">
        <f>F22+$G$3</f>
        <v>66.399999999999991</v>
      </c>
      <c r="I22" s="1074">
        <f>G22+$G$3</f>
        <v>66.320000000000007</v>
      </c>
      <c r="J22" s="1255" t="s">
        <v>846</v>
      </c>
      <c r="K22" s="1255" t="s">
        <v>847</v>
      </c>
      <c r="L22" s="982">
        <v>24.86</v>
      </c>
      <c r="M22" s="978">
        <v>27.24</v>
      </c>
      <c r="N22" s="982"/>
      <c r="O22" s="981"/>
      <c r="P22" s="984">
        <f>87.4-L22-N22</f>
        <v>62.540000000000006</v>
      </c>
      <c r="Q22" s="985">
        <f>87.4-M22-O22</f>
        <v>60.160000000000011</v>
      </c>
      <c r="R22" s="674">
        <v>-2.8</v>
      </c>
      <c r="S22" s="1099">
        <v>-2.6</v>
      </c>
      <c r="T22" s="1107">
        <v>7.2</v>
      </c>
      <c r="U22" s="977">
        <v>8.5</v>
      </c>
      <c r="V22" s="674">
        <v>2</v>
      </c>
      <c r="W22" s="973">
        <v>2</v>
      </c>
      <c r="X22" s="979">
        <v>13.4</v>
      </c>
      <c r="Y22" s="980">
        <v>13.2</v>
      </c>
      <c r="Z22" s="982">
        <v>246.9</v>
      </c>
      <c r="AA22" s="978">
        <v>260.3</v>
      </c>
      <c r="AB22" s="674">
        <v>47.3</v>
      </c>
      <c r="AC22" s="985">
        <f>AB22-(L22+M22)/2/0.8*0.9</f>
        <v>17.993750000000002</v>
      </c>
      <c r="AD22" s="778">
        <f>(Z22+AA22)/(Z22+AA22+Z23+AA23)*100</f>
        <v>44.877012918067599</v>
      </c>
      <c r="AE22" s="779">
        <f>(Z22+AA23)/(Z22+AA22+Z23+AA23)*100</f>
        <v>48.805521146699697</v>
      </c>
      <c r="AF22" s="380" t="s">
        <v>829</v>
      </c>
    </row>
    <row r="23" spans="2:33" x14ac:dyDescent="0.25">
      <c r="B23" s="820"/>
      <c r="C23" s="406"/>
      <c r="D23" s="1063">
        <v>294.89999999999998</v>
      </c>
      <c r="E23" s="976">
        <v>295.27999999999997</v>
      </c>
      <c r="F23" s="1069">
        <f>$B$5-(D23-$E$5)</f>
        <v>90.5</v>
      </c>
      <c r="G23" s="1070">
        <f>$B$5-(E23-$E$5)</f>
        <v>90.12</v>
      </c>
      <c r="H23" s="1075">
        <f>F23+$G$5</f>
        <v>88.6</v>
      </c>
      <c r="I23" s="1076">
        <f>G23+$G$5</f>
        <v>88.22</v>
      </c>
      <c r="J23" s="1255" t="s">
        <v>848</v>
      </c>
      <c r="K23" s="1255" t="s">
        <v>848</v>
      </c>
      <c r="L23" s="982">
        <v>15.44</v>
      </c>
      <c r="M23" s="978">
        <v>15.2</v>
      </c>
      <c r="N23" s="982"/>
      <c r="O23" s="981"/>
      <c r="P23" s="984">
        <f>96.4-L23-N23</f>
        <v>80.960000000000008</v>
      </c>
      <c r="Q23" s="985">
        <f>96.4-M23-O23</f>
        <v>81.2</v>
      </c>
      <c r="R23" s="983">
        <v>-2.1</v>
      </c>
      <c r="S23" s="979">
        <v>-2.1</v>
      </c>
      <c r="T23" s="1107">
        <v>4.45</v>
      </c>
      <c r="U23" s="977">
        <v>4.6500000000000004</v>
      </c>
      <c r="V23" s="674">
        <v>-1</v>
      </c>
      <c r="W23" s="973">
        <v>-1</v>
      </c>
      <c r="X23" s="981">
        <v>13.1</v>
      </c>
      <c r="Y23" s="977">
        <v>12.8</v>
      </c>
      <c r="Z23" s="982">
        <v>318.3</v>
      </c>
      <c r="AA23" s="978">
        <v>304.7</v>
      </c>
      <c r="AB23" s="674">
        <v>42</v>
      </c>
      <c r="AC23" s="985">
        <f>AB23-(L23+M23)/2/0.8*0.9</f>
        <v>24.765000000000001</v>
      </c>
      <c r="AD23" s="800"/>
      <c r="AE23" s="688"/>
    </row>
    <row r="24" spans="2:33" x14ac:dyDescent="0.25">
      <c r="B24" s="94"/>
      <c r="C24" s="1078"/>
      <c r="D24" s="670"/>
      <c r="E24" s="657"/>
      <c r="F24" s="1071"/>
      <c r="G24" s="1072"/>
      <c r="H24" s="1077"/>
      <c r="I24" s="1077"/>
      <c r="J24" s="563"/>
      <c r="K24" s="564"/>
      <c r="L24" s="552"/>
      <c r="M24" s="564"/>
      <c r="N24" s="552"/>
      <c r="O24" s="563"/>
      <c r="P24" s="563"/>
      <c r="Q24" s="564"/>
      <c r="R24" s="974"/>
      <c r="S24" s="563"/>
      <c r="T24" s="563"/>
      <c r="U24" s="564"/>
      <c r="V24" s="552"/>
      <c r="W24" s="563"/>
      <c r="X24" s="563"/>
      <c r="Y24" s="564"/>
      <c r="Z24" s="552"/>
      <c r="AA24" s="564"/>
      <c r="AB24" s="670"/>
      <c r="AC24" s="657"/>
      <c r="AD24" s="92"/>
      <c r="AE24" s="657"/>
    </row>
    <row r="25" spans="2:33" x14ac:dyDescent="0.25">
      <c r="B25" s="819"/>
      <c r="C25" s="1078"/>
      <c r="D25" s="865"/>
      <c r="E25" s="866"/>
      <c r="F25" s="1067">
        <f>$B$3-(D25-$E$3)</f>
        <v>317.5</v>
      </c>
      <c r="G25" s="1068">
        <f>$B$3-(E25-$E$3)</f>
        <v>317.5</v>
      </c>
      <c r="H25" s="1073">
        <f>F25+$G$3</f>
        <v>316.3</v>
      </c>
      <c r="I25" s="1074">
        <f>G25+$G$3</f>
        <v>316.3</v>
      </c>
      <c r="J25" s="979"/>
      <c r="K25" s="979"/>
      <c r="L25" s="982"/>
      <c r="M25" s="978"/>
      <c r="N25" s="982"/>
      <c r="O25" s="981"/>
      <c r="P25" s="984">
        <f>87.4-L25-N25</f>
        <v>87.4</v>
      </c>
      <c r="Q25" s="985">
        <f>87.4-M25-O25</f>
        <v>87.4</v>
      </c>
      <c r="R25" s="674"/>
      <c r="S25" s="973"/>
      <c r="T25" s="1099"/>
      <c r="U25" s="977"/>
      <c r="V25" s="674"/>
      <c r="W25" s="973"/>
      <c r="X25" s="979"/>
      <c r="Y25" s="980"/>
      <c r="Z25" s="982"/>
      <c r="AA25" s="978"/>
      <c r="AB25" s="674"/>
      <c r="AC25" s="985">
        <f>AB25-(L25+M25)/2/0.8*0.9</f>
        <v>0</v>
      </c>
      <c r="AD25" s="778" t="e">
        <f>(Z25+AA25)/(Z25+AA25+Z26+AA26)*100</f>
        <v>#DIV/0!</v>
      </c>
      <c r="AE25" s="779" t="e">
        <f>(Z25+AA26)/(Z25+AA25+Z26+AA26)*100</f>
        <v>#DIV/0!</v>
      </c>
    </row>
    <row r="26" spans="2:33" x14ac:dyDescent="0.25">
      <c r="B26" s="820"/>
      <c r="C26" s="406"/>
      <c r="D26" s="975"/>
      <c r="E26" s="976"/>
      <c r="F26" s="1069">
        <f>$B$5-(D26-$E$5)</f>
        <v>385.4</v>
      </c>
      <c r="G26" s="1070">
        <f>$B$5-(E26-$E$5)</f>
        <v>385.4</v>
      </c>
      <c r="H26" s="1075">
        <f>F26+$G$5</f>
        <v>383.5</v>
      </c>
      <c r="I26" s="1076">
        <f>G26+$G$5</f>
        <v>383.5</v>
      </c>
      <c r="J26" s="979"/>
      <c r="K26" s="979"/>
      <c r="L26" s="982"/>
      <c r="M26" s="978"/>
      <c r="N26" s="982"/>
      <c r="O26" s="981"/>
      <c r="P26" s="984">
        <f>96.4-L26-N26</f>
        <v>96.4</v>
      </c>
      <c r="Q26" s="985">
        <f>96.4-M26-O26</f>
        <v>96.4</v>
      </c>
      <c r="R26" s="983"/>
      <c r="S26" s="979"/>
      <c r="T26" s="1099"/>
      <c r="U26" s="977"/>
      <c r="V26" s="674"/>
      <c r="W26" s="973"/>
      <c r="X26" s="981"/>
      <c r="Y26" s="977"/>
      <c r="Z26" s="982"/>
      <c r="AA26" s="978"/>
      <c r="AB26" s="674"/>
      <c r="AC26" s="985">
        <f>AB26-(L26+M26)/2/0.8*0.9</f>
        <v>0</v>
      </c>
      <c r="AD26" s="800"/>
      <c r="AE26" s="688"/>
    </row>
    <row r="27" spans="2:33" x14ac:dyDescent="0.25">
      <c r="B27" s="94"/>
      <c r="C27" s="399"/>
      <c r="D27" s="670"/>
      <c r="E27" s="657"/>
      <c r="F27" s="1071"/>
      <c r="G27" s="1072"/>
      <c r="H27" s="1077"/>
      <c r="I27" s="1077"/>
      <c r="J27" s="563"/>
      <c r="K27" s="564"/>
      <c r="L27" s="552"/>
      <c r="M27" s="564"/>
      <c r="N27" s="552"/>
      <c r="O27" s="563"/>
      <c r="P27" s="563"/>
      <c r="Q27" s="564"/>
      <c r="R27" s="974"/>
      <c r="S27" s="563"/>
      <c r="T27" s="563"/>
      <c r="U27" s="564"/>
      <c r="V27" s="552"/>
      <c r="W27" s="563"/>
      <c r="X27" s="563"/>
      <c r="Y27" s="564"/>
      <c r="Z27" s="552"/>
      <c r="AA27" s="564"/>
      <c r="AB27" s="670"/>
      <c r="AC27" s="657"/>
      <c r="AD27" s="92"/>
      <c r="AE27" s="657"/>
    </row>
    <row r="28" spans="2:33" x14ac:dyDescent="0.25">
      <c r="B28" s="819"/>
      <c r="C28" s="1078"/>
      <c r="D28" s="865"/>
      <c r="E28" s="866"/>
      <c r="F28" s="1067">
        <f>$B$3-(D28-$E$3)</f>
        <v>317.5</v>
      </c>
      <c r="G28" s="1068">
        <f>$B$3-(E28-$E$3)</f>
        <v>317.5</v>
      </c>
      <c r="H28" s="1073">
        <f>F28+$G$3</f>
        <v>316.3</v>
      </c>
      <c r="I28" s="1074">
        <f>G28+$G$3</f>
        <v>316.3</v>
      </c>
      <c r="J28" s="979"/>
      <c r="K28" s="979"/>
      <c r="L28" s="982"/>
      <c r="M28" s="978"/>
      <c r="N28" s="982"/>
      <c r="O28" s="981"/>
      <c r="P28" s="984">
        <f>87.4-L28-N28</f>
        <v>87.4</v>
      </c>
      <c r="Q28" s="985">
        <f>87.4-M28-O28</f>
        <v>87.4</v>
      </c>
      <c r="R28" s="674"/>
      <c r="S28" s="1105"/>
      <c r="T28" s="1104"/>
      <c r="U28" s="977"/>
      <c r="V28" s="674"/>
      <c r="W28" s="1104"/>
      <c r="X28" s="979"/>
      <c r="Y28" s="980"/>
      <c r="Z28" s="982"/>
      <c r="AA28" s="978"/>
      <c r="AB28" s="674"/>
      <c r="AC28" s="985">
        <f>AB28-(L28+M28)/2/0.8*0.9</f>
        <v>0</v>
      </c>
      <c r="AD28" s="778" t="e">
        <f>(Z28+AA28)/(Z28+AA28+Z29+AA29)*100</f>
        <v>#DIV/0!</v>
      </c>
      <c r="AE28" s="779" t="e">
        <f>(Z28+AA29)/(Z28+AA28+Z29+AA29)*100</f>
        <v>#DIV/0!</v>
      </c>
    </row>
    <row r="29" spans="2:33" x14ac:dyDescent="0.25">
      <c r="B29" s="820"/>
      <c r="C29" s="406"/>
      <c r="D29" s="975"/>
      <c r="E29" s="976"/>
      <c r="F29" s="1069">
        <f>$B$5-(D29-$E$5)</f>
        <v>385.4</v>
      </c>
      <c r="G29" s="1070">
        <f>$B$5-(E29-$E$5)</f>
        <v>385.4</v>
      </c>
      <c r="H29" s="1075">
        <f>F29+$G$5</f>
        <v>383.5</v>
      </c>
      <c r="I29" s="1076">
        <f>G29+$G$5</f>
        <v>383.5</v>
      </c>
      <c r="J29" s="979"/>
      <c r="K29" s="979"/>
      <c r="L29" s="982"/>
      <c r="M29" s="978"/>
      <c r="N29" s="982"/>
      <c r="O29" s="981"/>
      <c r="P29" s="984">
        <f>96.4-L29-N29</f>
        <v>96.4</v>
      </c>
      <c r="Q29" s="985">
        <f>96.4-M29-O29</f>
        <v>96.4</v>
      </c>
      <c r="R29" s="983"/>
      <c r="S29" s="979"/>
      <c r="T29" s="1104"/>
      <c r="U29" s="977"/>
      <c r="V29" s="674"/>
      <c r="W29" s="1104"/>
      <c r="X29" s="981"/>
      <c r="Y29" s="977"/>
      <c r="Z29" s="982"/>
      <c r="AA29" s="978"/>
      <c r="AB29" s="674"/>
      <c r="AC29" s="985">
        <f>AB29-(L29+M29)/2/0.8*0.9</f>
        <v>0</v>
      </c>
      <c r="AD29" s="800"/>
      <c r="AE29" s="68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7C3C-887B-439F-AA31-FF674BC9EF51}">
  <sheetPr codeName="Sheet2"/>
  <dimension ref="A4:O65"/>
  <sheetViews>
    <sheetView showGridLines="0" view="pageLayout" zoomScaleNormal="100" workbookViewId="0">
      <selection activeCell="D31" sqref="D31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28" t="s">
        <v>0</v>
      </c>
      <c r="B4" s="1129"/>
      <c r="C4" s="1129"/>
      <c r="D4" s="1129"/>
      <c r="E4" s="1129"/>
      <c r="F4" s="1130"/>
    </row>
    <row r="5" spans="1:6" x14ac:dyDescent="0.2">
      <c r="A5" s="2" t="s">
        <v>1</v>
      </c>
      <c r="B5" s="1131" t="s">
        <v>756</v>
      </c>
      <c r="C5" s="1132"/>
      <c r="D5" s="3" t="s">
        <v>2</v>
      </c>
      <c r="E5" s="1133" t="s">
        <v>813</v>
      </c>
      <c r="F5" s="1134"/>
    </row>
    <row r="6" spans="1:6" x14ac:dyDescent="0.2">
      <c r="A6" s="4" t="s">
        <v>3</v>
      </c>
      <c r="B6" s="1135"/>
      <c r="C6" s="1136"/>
      <c r="D6" s="5" t="s">
        <v>4</v>
      </c>
      <c r="E6" s="1137" t="s">
        <v>814</v>
      </c>
      <c r="F6" s="1138"/>
    </row>
    <row r="7" spans="1:6" x14ac:dyDescent="0.2">
      <c r="A7" s="6" t="s">
        <v>5</v>
      </c>
      <c r="B7" s="1124" t="s">
        <v>815</v>
      </c>
      <c r="C7" s="1125"/>
      <c r="D7" s="7" t="s">
        <v>6</v>
      </c>
      <c r="E7" s="1126" t="s">
        <v>816</v>
      </c>
      <c r="F7" s="1127"/>
    </row>
    <row r="9" spans="1:6" x14ac:dyDescent="0.2">
      <c r="A9" s="1114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15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16" t="s">
        <v>759</v>
      </c>
      <c r="B12" s="959" t="s">
        <v>785</v>
      </c>
      <c r="C12" s="960" t="s">
        <v>785</v>
      </c>
      <c r="D12" s="1117" t="s">
        <v>11</v>
      </c>
      <c r="E12" s="1011"/>
      <c r="F12" s="1012"/>
    </row>
    <row r="13" spans="1:6" x14ac:dyDescent="0.2">
      <c r="A13" s="1115"/>
      <c r="B13" s="961" t="s">
        <v>786</v>
      </c>
      <c r="C13" s="962" t="s">
        <v>786</v>
      </c>
      <c r="D13" s="1118"/>
      <c r="E13" s="1013"/>
      <c r="F13" s="1014"/>
    </row>
    <row r="15" spans="1:6" x14ac:dyDescent="0.2">
      <c r="A15" s="1119" t="s">
        <v>48</v>
      </c>
      <c r="B15" s="64">
        <v>-2.9</v>
      </c>
      <c r="C15" s="64">
        <v>-2.6</v>
      </c>
      <c r="D15" s="1121" t="s">
        <v>508</v>
      </c>
      <c r="E15" s="1040">
        <v>2</v>
      </c>
      <c r="F15" s="1041">
        <v>2</v>
      </c>
    </row>
    <row r="16" spans="1:6" x14ac:dyDescent="0.2">
      <c r="A16" s="1120"/>
      <c r="B16" s="958">
        <v>-2.6</v>
      </c>
      <c r="C16" s="958">
        <v>-2.2999999999999998</v>
      </c>
      <c r="D16" s="1122"/>
      <c r="E16" s="1042">
        <v>-1</v>
      </c>
      <c r="F16" s="1043">
        <v>-1</v>
      </c>
    </row>
    <row r="17" spans="1:15" x14ac:dyDescent="0.2">
      <c r="A17" s="12" t="s">
        <v>12</v>
      </c>
      <c r="B17" s="956">
        <v>6.2</v>
      </c>
      <c r="C17" s="67">
        <v>8.8000000000000007</v>
      </c>
      <c r="D17" s="14" t="s">
        <v>12</v>
      </c>
      <c r="E17" s="967">
        <v>13.18</v>
      </c>
      <c r="F17" s="968">
        <v>14.34</v>
      </c>
    </row>
    <row r="18" spans="1:15" x14ac:dyDescent="0.2">
      <c r="A18" s="16"/>
      <c r="B18" s="957">
        <v>3.7</v>
      </c>
      <c r="C18" s="957">
        <v>5.0999999999999996</v>
      </c>
      <c r="D18" s="18"/>
      <c r="E18" s="969">
        <v>12</v>
      </c>
      <c r="F18" s="970">
        <v>12.92</v>
      </c>
    </row>
    <row r="20" spans="1:15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5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5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23" t="s">
        <v>536</v>
      </c>
      <c r="I22" s="1123"/>
      <c r="J22" s="1123"/>
    </row>
    <row r="23" spans="1:15" ht="13.5" thickBot="1" x14ac:dyDescent="0.25"/>
    <row r="24" spans="1:15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5" ht="13.5" thickBot="1" x14ac:dyDescent="0.25">
      <c r="A25" s="29" t="s">
        <v>13</v>
      </c>
      <c r="B25" s="965" t="s">
        <v>766</v>
      </c>
      <c r="C25" s="61" t="s">
        <v>543</v>
      </c>
      <c r="D25" s="30" t="s">
        <v>13</v>
      </c>
      <c r="E25" s="1017" t="s">
        <v>792</v>
      </c>
      <c r="F25" s="1018" t="s">
        <v>792</v>
      </c>
      <c r="H25" s="821">
        <v>50</v>
      </c>
      <c r="I25" s="822">
        <v>50</v>
      </c>
      <c r="J25" s="823">
        <v>42.3</v>
      </c>
    </row>
    <row r="26" spans="1:15" ht="13.5" thickBot="1" x14ac:dyDescent="0.25">
      <c r="A26" s="32" t="s">
        <v>17</v>
      </c>
      <c r="B26" s="966" t="s">
        <v>765</v>
      </c>
      <c r="C26" s="54" t="s">
        <v>543</v>
      </c>
      <c r="D26" s="25" t="s">
        <v>17</v>
      </c>
      <c r="E26" s="1019" t="s">
        <v>793</v>
      </c>
      <c r="F26" s="1014" t="s">
        <v>793</v>
      </c>
      <c r="H26" s="761" t="s">
        <v>539</v>
      </c>
      <c r="I26" s="762" t="s">
        <v>540</v>
      </c>
      <c r="J26" s="763" t="s">
        <v>542</v>
      </c>
    </row>
    <row r="27" spans="1:15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5" x14ac:dyDescent="0.2">
      <c r="A28" s="2" t="s">
        <v>23</v>
      </c>
      <c r="B28" s="963" t="s">
        <v>781</v>
      </c>
      <c r="C28" s="963" t="s">
        <v>782</v>
      </c>
      <c r="D28" s="33"/>
      <c r="E28" s="9" t="s">
        <v>512</v>
      </c>
      <c r="F28" s="59" t="s">
        <v>629</v>
      </c>
      <c r="G28" s="220"/>
    </row>
    <row r="29" spans="1:15" x14ac:dyDescent="0.2">
      <c r="A29" s="24"/>
      <c r="B29" s="964" t="s">
        <v>784</v>
      </c>
      <c r="C29" s="964" t="s">
        <v>783</v>
      </c>
      <c r="D29" s="34"/>
      <c r="E29" s="34"/>
      <c r="F29" s="718" t="s">
        <v>630</v>
      </c>
      <c r="G29" s="220"/>
    </row>
    <row r="30" spans="1:15" ht="13.5" thickBot="1" x14ac:dyDescent="0.25">
      <c r="K30" s="756" t="s">
        <v>573</v>
      </c>
    </row>
    <row r="31" spans="1:15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1004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  <c r="O31" s="1010" t="s">
        <v>779</v>
      </c>
    </row>
    <row r="32" spans="1:15" x14ac:dyDescent="0.2">
      <c r="A32" s="29" t="s">
        <v>26</v>
      </c>
      <c r="B32" s="958" t="s">
        <v>794</v>
      </c>
      <c r="C32" s="1020"/>
      <c r="D32" s="1021">
        <v>41</v>
      </c>
      <c r="E32" s="958" t="s">
        <v>795</v>
      </c>
      <c r="F32" s="1022" t="s">
        <v>796</v>
      </c>
      <c r="G32" s="1005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  <c r="O32" s="1010">
        <v>36.5</v>
      </c>
    </row>
    <row r="33" spans="1:15" ht="13.5" thickBot="1" x14ac:dyDescent="0.25">
      <c r="A33" s="29" t="s">
        <v>27</v>
      </c>
      <c r="B33" s="958" t="s">
        <v>218</v>
      </c>
      <c r="C33" s="1020"/>
      <c r="D33" s="1003">
        <v>47.5</v>
      </c>
      <c r="E33" s="958" t="s">
        <v>797</v>
      </c>
      <c r="F33" s="1023" t="s">
        <v>798</v>
      </c>
      <c r="G33" s="1006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  <c r="O33" s="1010">
        <v>52.5</v>
      </c>
    </row>
    <row r="34" spans="1:15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44" t="s">
        <v>799</v>
      </c>
      <c r="F34" s="1023"/>
      <c r="G34" s="1007" t="s">
        <v>89</v>
      </c>
      <c r="H34" s="829"/>
      <c r="I34" s="830"/>
      <c r="J34" s="831">
        <v>172.52</v>
      </c>
      <c r="K34" s="831">
        <v>70.3</v>
      </c>
      <c r="L34" s="1109">
        <f>J34-K34-J25</f>
        <v>59.920000000000016</v>
      </c>
      <c r="M34" s="1110"/>
    </row>
    <row r="35" spans="1:15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24" t="s">
        <v>800</v>
      </c>
      <c r="F35" s="1025"/>
      <c r="G35" s="1008" t="s">
        <v>90</v>
      </c>
      <c r="H35" s="832"/>
      <c r="I35" s="833"/>
      <c r="J35" s="834">
        <v>233</v>
      </c>
      <c r="K35" s="834">
        <v>140</v>
      </c>
      <c r="L35" s="1111">
        <f>J35-K35-J27</f>
        <v>68.599999999999994</v>
      </c>
      <c r="M35" s="1112"/>
    </row>
    <row r="36" spans="1:15" x14ac:dyDescent="0.2">
      <c r="C36" s="1113" t="s">
        <v>574</v>
      </c>
      <c r="D36" s="1113"/>
      <c r="E36" s="1113"/>
      <c r="F36" s="1113"/>
    </row>
    <row r="37" spans="1:15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5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5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5" x14ac:dyDescent="0.2">
      <c r="C40" s="1113" t="s">
        <v>574</v>
      </c>
      <c r="D40" s="1113"/>
      <c r="E40" s="1113"/>
      <c r="F40" s="1113"/>
    </row>
    <row r="41" spans="1:15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5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5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5" x14ac:dyDescent="0.2">
      <c r="D44" s="39"/>
    </row>
    <row r="45" spans="1:15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5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5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758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B7:C7"/>
    <mergeCell ref="E7:F7"/>
    <mergeCell ref="A4:F4"/>
    <mergeCell ref="B5:C5"/>
    <mergeCell ref="E5:F5"/>
    <mergeCell ref="B6:C6"/>
    <mergeCell ref="E6:F6"/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1C02-B0B8-430C-A8BA-74EF6F12EDE2}">
  <sheetPr codeName="Sheet3"/>
  <dimension ref="A4:M65"/>
  <sheetViews>
    <sheetView showGridLines="0" view="pageLayout" zoomScaleNormal="100" workbookViewId="0">
      <selection activeCell="E17" sqref="E17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28" t="s">
        <v>0</v>
      </c>
      <c r="B4" s="1129"/>
      <c r="C4" s="1129"/>
      <c r="D4" s="1129"/>
      <c r="E4" s="1129"/>
      <c r="F4" s="1130"/>
    </row>
    <row r="5" spans="1:6" x14ac:dyDescent="0.2">
      <c r="A5" s="2" t="s">
        <v>1</v>
      </c>
      <c r="B5" s="1131" t="s">
        <v>664</v>
      </c>
      <c r="C5" s="1132"/>
      <c r="D5" s="3" t="s">
        <v>2</v>
      </c>
      <c r="E5" s="1133" t="s">
        <v>755</v>
      </c>
      <c r="F5" s="1134"/>
    </row>
    <row r="6" spans="1:6" x14ac:dyDescent="0.2">
      <c r="A6" s="4" t="s">
        <v>3</v>
      </c>
      <c r="B6" s="1135"/>
      <c r="C6" s="1136"/>
      <c r="D6" s="5" t="s">
        <v>4</v>
      </c>
      <c r="E6" s="1137" t="s">
        <v>757</v>
      </c>
      <c r="F6" s="1138"/>
    </row>
    <row r="7" spans="1:6" x14ac:dyDescent="0.2">
      <c r="A7" s="6" t="s">
        <v>5</v>
      </c>
      <c r="B7" s="1124" t="s">
        <v>820</v>
      </c>
      <c r="C7" s="1125"/>
      <c r="D7" s="7" t="s">
        <v>6</v>
      </c>
      <c r="E7" s="1126" t="s">
        <v>819</v>
      </c>
      <c r="F7" s="1127"/>
    </row>
    <row r="9" spans="1:6" x14ac:dyDescent="0.2">
      <c r="A9" s="1114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15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16" t="s">
        <v>759</v>
      </c>
      <c r="B12" s="959">
        <v>62</v>
      </c>
      <c r="C12" s="960"/>
      <c r="D12" s="1117" t="s">
        <v>11</v>
      </c>
      <c r="E12" s="1011"/>
      <c r="F12" s="1012"/>
    </row>
    <row r="13" spans="1:6" x14ac:dyDescent="0.2">
      <c r="A13" s="1115"/>
      <c r="B13" s="961">
        <v>82</v>
      </c>
      <c r="C13" s="962"/>
      <c r="D13" s="1118"/>
      <c r="E13" s="1013"/>
      <c r="F13" s="1014"/>
    </row>
    <row r="15" spans="1:6" x14ac:dyDescent="0.2">
      <c r="A15" s="1119" t="s">
        <v>48</v>
      </c>
      <c r="B15" s="64"/>
      <c r="C15" s="64"/>
      <c r="D15" s="1121" t="s">
        <v>508</v>
      </c>
      <c r="E15" s="1040"/>
      <c r="F15" s="1041"/>
    </row>
    <row r="16" spans="1:6" x14ac:dyDescent="0.2">
      <c r="A16" s="1120"/>
      <c r="B16" s="958"/>
      <c r="C16" s="958"/>
      <c r="D16" s="1122"/>
      <c r="E16" s="1042"/>
      <c r="F16" s="1043"/>
    </row>
    <row r="17" spans="1:13" x14ac:dyDescent="0.2">
      <c r="A17" s="12" t="s">
        <v>12</v>
      </c>
      <c r="B17" s="956"/>
      <c r="C17" s="67"/>
      <c r="D17" s="14" t="s">
        <v>12</v>
      </c>
      <c r="E17" s="967"/>
      <c r="F17" s="968"/>
    </row>
    <row r="18" spans="1:13" x14ac:dyDescent="0.2">
      <c r="A18" s="16"/>
      <c r="B18" s="957"/>
      <c r="C18" s="957"/>
      <c r="D18" s="18"/>
      <c r="E18" s="969"/>
      <c r="F18" s="970"/>
    </row>
    <row r="20" spans="1:13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3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3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23" t="s">
        <v>536</v>
      </c>
      <c r="I22" s="1123"/>
      <c r="J22" s="1123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1049" t="s">
        <v>766</v>
      </c>
      <c r="C25" s="1050" t="s">
        <v>543</v>
      </c>
      <c r="D25" s="30" t="s">
        <v>13</v>
      </c>
      <c r="E25" s="1053" t="s">
        <v>792</v>
      </c>
      <c r="F25" s="1054" t="s">
        <v>792</v>
      </c>
      <c r="H25" s="821">
        <v>50</v>
      </c>
      <c r="I25" s="822">
        <v>50</v>
      </c>
      <c r="J25" s="823">
        <v>42.3</v>
      </c>
    </row>
    <row r="26" spans="1:13" ht="13.5" thickBot="1" x14ac:dyDescent="0.25">
      <c r="A26" s="32" t="s">
        <v>17</v>
      </c>
      <c r="B26" s="1051" t="s">
        <v>765</v>
      </c>
      <c r="C26" s="1052" t="s">
        <v>543</v>
      </c>
      <c r="D26" s="25" t="s">
        <v>17</v>
      </c>
      <c r="E26" s="1055" t="s">
        <v>793</v>
      </c>
      <c r="F26" s="1056" t="s">
        <v>793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3" x14ac:dyDescent="0.2">
      <c r="A28" s="2" t="s">
        <v>23</v>
      </c>
      <c r="B28" s="963"/>
      <c r="C28" s="963"/>
      <c r="D28" s="33"/>
      <c r="E28" s="9" t="s">
        <v>512</v>
      </c>
      <c r="F28" s="59" t="s">
        <v>629</v>
      </c>
      <c r="G28" s="220"/>
    </row>
    <row r="29" spans="1:13" x14ac:dyDescent="0.2">
      <c r="A29" s="24"/>
      <c r="B29" s="964"/>
      <c r="C29" s="964"/>
      <c r="D29" s="34"/>
      <c r="E29" s="34"/>
      <c r="F29" s="718" t="s">
        <v>630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958"/>
      <c r="C32" s="1020"/>
      <c r="D32" s="1021"/>
      <c r="E32" s="1059" t="s">
        <v>795</v>
      </c>
      <c r="F32" s="1057" t="s">
        <v>796</v>
      </c>
      <c r="G32" s="770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</row>
    <row r="33" spans="1:13" ht="13.5" thickBot="1" x14ac:dyDescent="0.25">
      <c r="A33" s="29" t="s">
        <v>27</v>
      </c>
      <c r="B33" s="958"/>
      <c r="C33" s="1020"/>
      <c r="D33" s="1003"/>
      <c r="E33" s="1059" t="s">
        <v>797</v>
      </c>
      <c r="F33" s="1058" t="s">
        <v>798</v>
      </c>
      <c r="G33" s="771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1060" t="s">
        <v>799</v>
      </c>
      <c r="F34" s="1023"/>
      <c r="G34" s="772" t="s">
        <v>89</v>
      </c>
      <c r="H34" s="829"/>
      <c r="I34" s="830"/>
      <c r="J34" s="831">
        <v>172.52</v>
      </c>
      <c r="K34" s="831">
        <v>70.3</v>
      </c>
      <c r="L34" s="1109">
        <f>J34-K34-J25</f>
        <v>59.920000000000016</v>
      </c>
      <c r="M34" s="1110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61" t="s">
        <v>800</v>
      </c>
      <c r="F35" s="1025"/>
      <c r="G35" s="773" t="s">
        <v>90</v>
      </c>
      <c r="H35" s="832"/>
      <c r="I35" s="833"/>
      <c r="J35" s="834">
        <v>233</v>
      </c>
      <c r="K35" s="834">
        <v>140</v>
      </c>
      <c r="L35" s="1111">
        <f>J35-K35-J27</f>
        <v>68.599999999999994</v>
      </c>
      <c r="M35" s="1112"/>
    </row>
    <row r="36" spans="1:13" x14ac:dyDescent="0.2">
      <c r="C36" s="1113" t="s">
        <v>574</v>
      </c>
      <c r="D36" s="1113"/>
      <c r="E36" s="1113"/>
      <c r="F36" s="1113"/>
    </row>
    <row r="37" spans="1:13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3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3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3" x14ac:dyDescent="0.2">
      <c r="C40" s="1113" t="s">
        <v>574</v>
      </c>
      <c r="D40" s="1113"/>
      <c r="E40" s="1113"/>
      <c r="F40" s="1113"/>
    </row>
    <row r="41" spans="1:13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3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3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3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3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B7:C7"/>
    <mergeCell ref="E7:F7"/>
    <mergeCell ref="A4:F4"/>
    <mergeCell ref="B5:C5"/>
    <mergeCell ref="E5:F5"/>
    <mergeCell ref="B6:C6"/>
    <mergeCell ref="E6:F6"/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23AC-D543-4ED5-B9FD-ED353EB0A2D6}">
  <sheetPr codeName="Sheet4"/>
  <dimension ref="A1:AD47"/>
  <sheetViews>
    <sheetView showGridLines="0" zoomScale="85" zoomScaleNormal="85" workbookViewId="0">
      <selection activeCell="K51" sqref="K51"/>
    </sheetView>
  </sheetViews>
  <sheetFormatPr defaultColWidth="9.140625" defaultRowHeight="15" x14ac:dyDescent="0.25"/>
  <cols>
    <col min="1" max="1" width="3.7109375" style="380" customWidth="1"/>
    <col min="2" max="2" width="13.42578125" bestFit="1" customWidth="1"/>
    <col min="3" max="3" width="15.28515625" bestFit="1" customWidth="1"/>
    <col min="4" max="4" width="12.28515625" customWidth="1"/>
    <col min="5" max="5" width="10.140625" bestFit="1" customWidth="1"/>
    <col min="6" max="6" width="10.28515625" customWidth="1"/>
    <col min="7" max="8" width="10.28515625" style="380" customWidth="1"/>
    <col min="9" max="9" width="11.28515625" style="380" customWidth="1"/>
    <col min="10" max="15" width="9.140625" style="380"/>
    <col min="16" max="17" width="10.5703125" style="380" customWidth="1"/>
    <col min="18" max="18" width="10.5703125" style="380" bestFit="1" customWidth="1"/>
    <col min="19" max="19" width="10.5703125" style="380" customWidth="1"/>
    <col min="20" max="21" width="9.140625" style="380"/>
    <col min="22" max="22" width="13.85546875" style="380" customWidth="1"/>
    <col min="23" max="23" width="9.140625" style="380"/>
    <col min="25" max="26" width="9.140625" style="380"/>
    <col min="29" max="29" width="12.85546875" bestFit="1" customWidth="1"/>
  </cols>
  <sheetData>
    <row r="1" spans="2:30" s="380" customFormat="1" x14ac:dyDescent="0.25"/>
    <row r="2" spans="2:30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811" t="s">
        <v>620</v>
      </c>
      <c r="Q2" s="172"/>
      <c r="R2" s="172"/>
      <c r="S2" s="172"/>
      <c r="T2" s="80" t="s">
        <v>13</v>
      </c>
      <c r="U2" s="624" t="s">
        <v>17</v>
      </c>
      <c r="V2" s="591"/>
      <c r="W2" s="172"/>
      <c r="X2" s="72"/>
      <c r="Y2" s="381"/>
      <c r="Z2" s="381"/>
    </row>
    <row r="3" spans="2:30" x14ac:dyDescent="0.25">
      <c r="B3" s="94">
        <v>76</v>
      </c>
      <c r="C3" s="381">
        <v>241</v>
      </c>
      <c r="D3" s="813">
        <v>-3</v>
      </c>
      <c r="E3" s="382">
        <f>C3+D3</f>
        <v>238</v>
      </c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94" t="s">
        <v>622</v>
      </c>
      <c r="Q3" s="381"/>
      <c r="R3" s="381"/>
      <c r="S3" s="381"/>
      <c r="T3" s="163">
        <v>0.70399999999999996</v>
      </c>
      <c r="U3" s="808">
        <v>0.44</v>
      </c>
      <c r="W3" s="381"/>
      <c r="X3" s="382"/>
      <c r="Y3" s="381"/>
      <c r="Z3" s="381"/>
    </row>
    <row r="4" spans="2:30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94" t="s">
        <v>621</v>
      </c>
      <c r="Q4" s="381"/>
      <c r="R4" s="381"/>
      <c r="S4" s="381"/>
      <c r="T4" s="809">
        <v>0.28000000000000003</v>
      </c>
      <c r="U4" s="810">
        <v>0.49</v>
      </c>
      <c r="W4" s="381"/>
      <c r="X4" s="382"/>
      <c r="Y4" s="381"/>
      <c r="Z4" s="381"/>
    </row>
    <row r="5" spans="2:30" x14ac:dyDescent="0.25">
      <c r="B5" s="653">
        <v>96</v>
      </c>
      <c r="C5" s="654">
        <v>293.89999999999998</v>
      </c>
      <c r="D5" s="814">
        <v>1</v>
      </c>
      <c r="E5" s="655">
        <f>C5+D5</f>
        <v>294.89999999999998</v>
      </c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94" t="s">
        <v>623</v>
      </c>
      <c r="Q5" s="381"/>
      <c r="R5" s="381"/>
      <c r="S5" s="381"/>
      <c r="T5" s="971">
        <v>5</v>
      </c>
      <c r="U5" s="972">
        <v>3.6</v>
      </c>
      <c r="W5" s="381"/>
      <c r="X5" s="382"/>
      <c r="Y5" s="381"/>
      <c r="Z5" s="381"/>
    </row>
    <row r="6" spans="2:30" s="380" customFormat="1" x14ac:dyDescent="0.25">
      <c r="B6" s="955"/>
      <c r="C6" s="540"/>
      <c r="D6" s="996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767</v>
      </c>
      <c r="Q6" s="96"/>
      <c r="R6" s="96"/>
      <c r="S6" s="96"/>
      <c r="T6" s="812">
        <v>0</v>
      </c>
      <c r="U6" s="652">
        <v>0.7</v>
      </c>
      <c r="W6" s="381"/>
      <c r="X6" s="382"/>
      <c r="Y6" s="381"/>
      <c r="Z6" s="381"/>
    </row>
    <row r="7" spans="2:30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2"/>
      <c r="Y7" s="381"/>
      <c r="Z7" s="381"/>
    </row>
    <row r="8" spans="2:30" x14ac:dyDescent="0.25">
      <c r="B8" s="658"/>
      <c r="C8" s="659" t="s">
        <v>336</v>
      </c>
      <c r="D8" s="660" t="s">
        <v>502</v>
      </c>
      <c r="E8" s="661"/>
      <c r="F8" s="660" t="s">
        <v>519</v>
      </c>
      <c r="G8" s="662"/>
      <c r="H8" s="662" t="s">
        <v>23</v>
      </c>
      <c r="I8" s="661"/>
      <c r="J8" s="662" t="s">
        <v>516</v>
      </c>
      <c r="K8" s="661"/>
      <c r="L8" s="660" t="s">
        <v>517</v>
      </c>
      <c r="M8" s="662"/>
      <c r="N8" s="662" t="s">
        <v>613</v>
      </c>
      <c r="O8" s="661"/>
      <c r="P8" s="660" t="s">
        <v>518</v>
      </c>
      <c r="Q8" s="662"/>
      <c r="R8" s="662" t="s">
        <v>582</v>
      </c>
      <c r="S8" s="661"/>
      <c r="T8" s="662" t="s">
        <v>504</v>
      </c>
      <c r="U8" s="661"/>
      <c r="V8" s="801" t="s">
        <v>616</v>
      </c>
      <c r="W8" s="662" t="s">
        <v>505</v>
      </c>
      <c r="X8" s="661" t="s">
        <v>506</v>
      </c>
      <c r="Y8" s="656"/>
      <c r="Z8" s="656"/>
    </row>
    <row r="9" spans="2:30" x14ac:dyDescent="0.25">
      <c r="B9" s="94"/>
      <c r="C9" s="381"/>
      <c r="D9" s="670"/>
      <c r="E9" s="657"/>
      <c r="F9" s="670"/>
      <c r="G9" s="92"/>
      <c r="H9" s="92"/>
      <c r="I9" s="657"/>
      <c r="J9" s="92"/>
      <c r="K9" s="657"/>
      <c r="L9" s="670"/>
      <c r="M9" s="92"/>
      <c r="N9" s="92"/>
      <c r="O9" s="657"/>
      <c r="P9" s="670"/>
      <c r="Q9" s="92"/>
      <c r="R9" s="92"/>
      <c r="S9" s="657"/>
      <c r="T9" s="92"/>
      <c r="U9" s="657"/>
      <c r="V9" s="802"/>
      <c r="W9" s="92"/>
      <c r="X9" s="657"/>
      <c r="Y9" s="399"/>
      <c r="Z9" s="399"/>
    </row>
    <row r="10" spans="2:30" ht="15.75" thickBot="1" x14ac:dyDescent="0.3">
      <c r="B10" s="94"/>
      <c r="C10" s="381" t="s">
        <v>584</v>
      </c>
      <c r="D10" s="674">
        <v>255.6</v>
      </c>
      <c r="E10" s="671">
        <v>255.6</v>
      </c>
      <c r="F10" s="663">
        <f>$B$3-(D10-$E$3)</f>
        <v>58.400000000000006</v>
      </c>
      <c r="G10" s="373">
        <f>$B$3-(E10-$E$3)</f>
        <v>58.400000000000006</v>
      </c>
      <c r="H10" s="373"/>
      <c r="I10" s="664"/>
      <c r="J10" s="373"/>
      <c r="K10" s="664"/>
      <c r="L10" s="685">
        <v>-2.7</v>
      </c>
      <c r="M10" s="373">
        <v>-2.7</v>
      </c>
      <c r="N10" s="373"/>
      <c r="O10" s="664"/>
      <c r="P10" s="685">
        <v>1.5</v>
      </c>
      <c r="Q10" s="373">
        <v>1.5</v>
      </c>
      <c r="R10" s="373"/>
      <c r="S10" s="664"/>
      <c r="T10" s="373"/>
      <c r="U10" s="664"/>
      <c r="V10" s="803" t="s">
        <v>523</v>
      </c>
      <c r="W10" s="373" t="e">
        <f>(T10+U10)/(T10+U10+T11+U11)*100</f>
        <v>#DIV/0!</v>
      </c>
      <c r="X10" s="665" t="e">
        <f>(T10+U11)/(T10+U10+T11+U11)*100</f>
        <v>#DIV/0!</v>
      </c>
      <c r="Y10" s="399" t="s">
        <v>524</v>
      </c>
      <c r="Z10" s="399"/>
      <c r="AB10" s="839" t="s">
        <v>640</v>
      </c>
      <c r="AC10" s="839"/>
      <c r="AD10" s="839"/>
    </row>
    <row r="11" spans="2:30" x14ac:dyDescent="0.25">
      <c r="B11" s="95"/>
      <c r="C11" s="96" t="s">
        <v>611</v>
      </c>
      <c r="D11" s="675">
        <v>300.10000000000002</v>
      </c>
      <c r="E11" s="666">
        <v>300.10000000000002</v>
      </c>
      <c r="F11" s="667">
        <f>$B$5-(D11-$E$5)</f>
        <v>90.799999999999955</v>
      </c>
      <c r="G11" s="669">
        <f>$B$5-(E11-$E$5)</f>
        <v>90.799999999999955</v>
      </c>
      <c r="H11" s="669"/>
      <c r="I11" s="668"/>
      <c r="J11" s="669"/>
      <c r="K11" s="668"/>
      <c r="L11" s="707" t="s">
        <v>580</v>
      </c>
      <c r="M11" s="797" t="s">
        <v>580</v>
      </c>
      <c r="N11" s="669"/>
      <c r="O11" s="668"/>
      <c r="P11" s="686">
        <v>-2</v>
      </c>
      <c r="Q11" s="669">
        <v>-2</v>
      </c>
      <c r="R11" s="669"/>
      <c r="S11" s="668"/>
      <c r="T11" s="669"/>
      <c r="U11" s="668"/>
      <c r="V11" s="804" t="s">
        <v>525</v>
      </c>
      <c r="W11" s="687"/>
      <c r="X11" s="688"/>
      <c r="Y11" s="399" t="s">
        <v>521</v>
      </c>
      <c r="Z11" s="399"/>
      <c r="AB11" s="1139" t="s">
        <v>638</v>
      </c>
      <c r="AC11" s="1140"/>
      <c r="AD11" s="835" t="s">
        <v>637</v>
      </c>
    </row>
    <row r="12" spans="2:30" x14ac:dyDescent="0.25">
      <c r="B12" s="94"/>
      <c r="C12" s="381"/>
      <c r="D12" s="670"/>
      <c r="E12" s="657"/>
      <c r="F12" s="670"/>
      <c r="G12" s="92"/>
      <c r="H12" s="92"/>
      <c r="I12" s="657"/>
      <c r="J12" s="92"/>
      <c r="K12" s="657"/>
      <c r="L12" s="777"/>
      <c r="M12" s="92"/>
      <c r="N12" s="92"/>
      <c r="O12" s="657"/>
      <c r="P12" s="670"/>
      <c r="Q12" s="92"/>
      <c r="R12" s="92"/>
      <c r="S12" s="657"/>
      <c r="T12" s="92"/>
      <c r="U12" s="657"/>
      <c r="V12" s="802"/>
      <c r="W12" s="92"/>
      <c r="X12" s="657"/>
      <c r="Y12" s="399"/>
      <c r="Z12" s="399"/>
      <c r="AB12" s="99">
        <v>253.2</v>
      </c>
      <c r="AC12" s="87">
        <v>256.8</v>
      </c>
      <c r="AD12" s="837">
        <f>AB12+AC12</f>
        <v>510</v>
      </c>
    </row>
    <row r="13" spans="2:30" ht="15.75" thickBot="1" x14ac:dyDescent="0.3">
      <c r="B13" s="94"/>
      <c r="C13" s="381" t="s">
        <v>581</v>
      </c>
      <c r="D13" s="674">
        <v>254.46</v>
      </c>
      <c r="E13" s="671">
        <v>254.65</v>
      </c>
      <c r="F13" s="663">
        <f>$B$3-(D13-$E$3)</f>
        <v>59.539999999999992</v>
      </c>
      <c r="G13" s="373">
        <f>$B$3-(E13-$E$3)</f>
        <v>59.349999999999994</v>
      </c>
      <c r="H13" s="373"/>
      <c r="I13" s="664"/>
      <c r="J13" s="373"/>
      <c r="K13" s="664"/>
      <c r="L13" s="685">
        <v>-2.6</v>
      </c>
      <c r="M13" s="373">
        <v>-2.6</v>
      </c>
      <c r="N13" s="373"/>
      <c r="O13" s="664"/>
      <c r="P13" s="685">
        <v>1.5</v>
      </c>
      <c r="Q13" s="373">
        <v>1.25</v>
      </c>
      <c r="R13" s="373">
        <v>13.57</v>
      </c>
      <c r="S13" s="664">
        <v>13</v>
      </c>
      <c r="T13" s="373">
        <v>253.2</v>
      </c>
      <c r="U13" s="664">
        <v>256.8</v>
      </c>
      <c r="V13" s="803"/>
      <c r="W13" s="778">
        <f>(T13+U13)/(T13+U13+T14+U14)*100</f>
        <v>45.208758088821916</v>
      </c>
      <c r="X13" s="779">
        <f>(T13+U14)/(T13+U13+T14+U14)*100</f>
        <v>49.250952929704809</v>
      </c>
      <c r="Y13" s="399" t="s">
        <v>583</v>
      </c>
      <c r="Z13" s="399"/>
      <c r="AB13" s="100">
        <v>315.7</v>
      </c>
      <c r="AC13" s="142">
        <v>302.39999999999998</v>
      </c>
      <c r="AD13" s="838">
        <f>AB13+AC13</f>
        <v>618.09999999999991</v>
      </c>
    </row>
    <row r="14" spans="2:30" ht="15.75" thickBot="1" x14ac:dyDescent="0.3">
      <c r="B14" s="95"/>
      <c r="C14" s="96" t="s">
        <v>611</v>
      </c>
      <c r="D14" s="675">
        <v>301.64999999999998</v>
      </c>
      <c r="E14" s="666">
        <v>301.77</v>
      </c>
      <c r="F14" s="667">
        <f>$B$5-(D14-$E$5)</f>
        <v>89.25</v>
      </c>
      <c r="G14" s="669">
        <f>$B$5-(E14-$E$5)</f>
        <v>89.13</v>
      </c>
      <c r="H14" s="669"/>
      <c r="I14" s="668"/>
      <c r="J14" s="669"/>
      <c r="K14" s="668"/>
      <c r="L14" s="686">
        <v>-2.1</v>
      </c>
      <c r="M14" s="669">
        <v>-2.1</v>
      </c>
      <c r="N14" s="669"/>
      <c r="O14" s="668"/>
      <c r="P14" s="686">
        <v>-1.6</v>
      </c>
      <c r="Q14" s="669">
        <v>-1.6</v>
      </c>
      <c r="R14" s="669"/>
      <c r="S14" s="668"/>
      <c r="T14" s="669">
        <v>315.7</v>
      </c>
      <c r="U14" s="668">
        <v>302.39999999999998</v>
      </c>
      <c r="V14" s="804"/>
      <c r="W14" s="800"/>
      <c r="X14" s="688"/>
      <c r="Y14" s="399"/>
      <c r="Z14" s="399"/>
      <c r="AC14" s="498" t="s">
        <v>639</v>
      </c>
      <c r="AD14" s="836">
        <f>AD12+AD13</f>
        <v>1128.0999999999999</v>
      </c>
    </row>
    <row r="15" spans="2:30" s="380" customFormat="1" x14ac:dyDescent="0.25">
      <c r="B15" s="94"/>
      <c r="D15" s="670"/>
      <c r="E15" s="657"/>
      <c r="F15" s="670"/>
      <c r="G15" s="92"/>
      <c r="H15" s="92"/>
      <c r="I15" s="657"/>
      <c r="J15" s="92"/>
      <c r="K15" s="657"/>
      <c r="L15" s="670"/>
      <c r="M15" s="92"/>
      <c r="N15" s="92"/>
      <c r="O15" s="657"/>
      <c r="P15" s="670"/>
      <c r="Q15" s="92"/>
      <c r="R15" s="92"/>
      <c r="S15" s="657"/>
      <c r="T15" s="71"/>
      <c r="U15" s="657"/>
      <c r="V15" s="802"/>
      <c r="W15" s="71"/>
      <c r="X15" s="657"/>
    </row>
    <row r="16" spans="2:30" s="380" customFormat="1" x14ac:dyDescent="0.25">
      <c r="B16" s="94"/>
      <c r="C16" s="380" t="s">
        <v>615</v>
      </c>
      <c r="D16" s="674">
        <v>253.4</v>
      </c>
      <c r="E16" s="671">
        <v>253.75</v>
      </c>
      <c r="F16" s="663">
        <f>$B$3-(D16-$E$3)</f>
        <v>60.599999999999994</v>
      </c>
      <c r="G16" s="373">
        <f>$B$3-(E16-$E$3)</f>
        <v>60.25</v>
      </c>
      <c r="H16" s="373">
        <v>6.6</v>
      </c>
      <c r="I16" s="664">
        <v>6.55</v>
      </c>
      <c r="J16" s="373"/>
      <c r="K16" s="664"/>
      <c r="L16" s="685">
        <v>-2.5</v>
      </c>
      <c r="M16" s="373">
        <v>-2.5</v>
      </c>
      <c r="N16" s="373"/>
      <c r="O16" s="664"/>
      <c r="P16" s="685">
        <v>1.5</v>
      </c>
      <c r="Q16" s="373">
        <v>1.6</v>
      </c>
      <c r="R16" s="805" t="s">
        <v>619</v>
      </c>
      <c r="S16" s="806" t="s">
        <v>618</v>
      </c>
      <c r="T16" s="373">
        <v>232.8</v>
      </c>
      <c r="U16" s="664">
        <v>222</v>
      </c>
      <c r="V16" s="803" t="s">
        <v>523</v>
      </c>
      <c r="W16" s="778">
        <f>(T16+U16)/(T16+U16+T17+U17)*100</f>
        <v>43.421806377697152</v>
      </c>
      <c r="X16" s="779">
        <f>(T16+U17)/(T16+U16+T17+U17)*100</f>
        <v>51.212526255489784</v>
      </c>
    </row>
    <row r="17" spans="2:28" s="380" customFormat="1" x14ac:dyDescent="0.25">
      <c r="B17" s="95"/>
      <c r="C17" s="96" t="s">
        <v>611</v>
      </c>
      <c r="D17" s="675">
        <v>299.5</v>
      </c>
      <c r="E17" s="666">
        <v>299.63</v>
      </c>
      <c r="F17" s="667">
        <f>$B$5-(D17-$E$5)</f>
        <v>91.399999999999977</v>
      </c>
      <c r="G17" s="669">
        <f>$B$5-(E17-$E$5)</f>
        <v>91.269999999999982</v>
      </c>
      <c r="H17" s="798">
        <v>8.93</v>
      </c>
      <c r="I17" s="799">
        <v>8.76</v>
      </c>
      <c r="J17" s="669"/>
      <c r="K17" s="668"/>
      <c r="L17" s="707">
        <v>-2.1</v>
      </c>
      <c r="M17" s="797">
        <v>-1.9</v>
      </c>
      <c r="N17" s="798"/>
      <c r="O17" s="799"/>
      <c r="P17" s="686">
        <v>-1.5</v>
      </c>
      <c r="Q17" s="669">
        <v>-1.6</v>
      </c>
      <c r="R17" s="669"/>
      <c r="S17" s="668"/>
      <c r="T17" s="669">
        <v>289</v>
      </c>
      <c r="U17" s="668">
        <v>303.60000000000002</v>
      </c>
      <c r="V17" s="804" t="s">
        <v>525</v>
      </c>
      <c r="W17" s="687"/>
      <c r="X17" s="688"/>
    </row>
    <row r="18" spans="2:28" s="380" customFormat="1" ht="15.75" thickBot="1" x14ac:dyDescent="0.3">
      <c r="B18" s="94"/>
      <c r="C18" s="381"/>
      <c r="D18" s="670"/>
      <c r="E18" s="657"/>
      <c r="F18" s="670"/>
      <c r="G18" s="92"/>
      <c r="H18" s="92"/>
      <c r="I18" s="657"/>
      <c r="J18" s="92"/>
      <c r="K18" s="657"/>
      <c r="L18" s="670"/>
      <c r="M18" s="92"/>
      <c r="N18" s="92"/>
      <c r="O18" s="657"/>
      <c r="P18" s="670"/>
      <c r="Q18" s="92"/>
      <c r="R18" s="92"/>
      <c r="S18" s="657"/>
      <c r="T18" s="92"/>
      <c r="U18" s="657"/>
      <c r="V18" s="802"/>
      <c r="W18" s="92"/>
      <c r="X18" s="657"/>
      <c r="Y18" s="1146" t="s">
        <v>645</v>
      </c>
      <c r="Z18" s="1147"/>
      <c r="AA18" s="1147"/>
      <c r="AB18" s="1147"/>
    </row>
    <row r="19" spans="2:28" s="380" customFormat="1" ht="15.75" thickBot="1" x14ac:dyDescent="0.3">
      <c r="B19" s="844" t="s">
        <v>642</v>
      </c>
      <c r="C19" s="381" t="s">
        <v>641</v>
      </c>
      <c r="D19" s="817"/>
      <c r="E19" s="818"/>
      <c r="F19" s="846">
        <v>68.55</v>
      </c>
      <c r="G19" s="847">
        <v>68.55</v>
      </c>
      <c r="H19" s="850">
        <v>6.67</v>
      </c>
      <c r="I19" s="851">
        <v>6.7</v>
      </c>
      <c r="J19" s="850"/>
      <c r="K19" s="851"/>
      <c r="L19" s="852">
        <v>-2.5</v>
      </c>
      <c r="M19" s="850">
        <v>-2.5</v>
      </c>
      <c r="N19" s="850">
        <v>8.74</v>
      </c>
      <c r="O19" s="851">
        <v>8.83</v>
      </c>
      <c r="P19" s="852">
        <v>1.7</v>
      </c>
      <c r="Q19" s="850">
        <v>1.5</v>
      </c>
      <c r="R19" s="853" t="s">
        <v>619</v>
      </c>
      <c r="S19" s="854" t="s">
        <v>618</v>
      </c>
      <c r="T19" s="860">
        <f>2872/9.81</f>
        <v>292.76248725790009</v>
      </c>
      <c r="U19" s="861">
        <f>2768/9.81</f>
        <v>282.16106014271151</v>
      </c>
      <c r="V19" s="803" t="s">
        <v>633</v>
      </c>
      <c r="W19" s="778">
        <f>(T19+U19)/(T19+U19+T20+U20)*100</f>
        <v>45.425257731958766</v>
      </c>
      <c r="X19" s="864">
        <f>(T19+U20)/(T19+U19+T20+U20)*100</f>
        <v>50.048324742268044</v>
      </c>
      <c r="Y19" s="1141" t="s">
        <v>646</v>
      </c>
      <c r="Z19" s="1142"/>
      <c r="AA19" s="1142"/>
      <c r="AB19" s="1143"/>
    </row>
    <row r="20" spans="2:28" s="380" customFormat="1" x14ac:dyDescent="0.25">
      <c r="B20" s="845" t="s">
        <v>643</v>
      </c>
      <c r="C20" s="96" t="s">
        <v>611</v>
      </c>
      <c r="D20" s="675"/>
      <c r="E20" s="666"/>
      <c r="F20" s="848">
        <v>83.02</v>
      </c>
      <c r="G20" s="849">
        <v>83.02</v>
      </c>
      <c r="H20" s="855">
        <v>8.9499999999999993</v>
      </c>
      <c r="I20" s="856">
        <v>8.5399999999999991</v>
      </c>
      <c r="J20" s="855"/>
      <c r="K20" s="856"/>
      <c r="L20" s="857" t="s">
        <v>625</v>
      </c>
      <c r="M20" s="858" t="s">
        <v>624</v>
      </c>
      <c r="N20" s="855">
        <v>5.53</v>
      </c>
      <c r="O20" s="856">
        <v>5.52</v>
      </c>
      <c r="P20" s="859">
        <v>-1.6</v>
      </c>
      <c r="Q20" s="855">
        <v>-1.7</v>
      </c>
      <c r="R20" s="855" t="s">
        <v>627</v>
      </c>
      <c r="S20" s="856" t="s">
        <v>626</v>
      </c>
      <c r="T20" s="862">
        <f>3434/9.81</f>
        <v>350.05096839959225</v>
      </c>
      <c r="U20" s="863">
        <f>3342/9.81</f>
        <v>340.67278287461772</v>
      </c>
      <c r="V20" s="804" t="s">
        <v>634</v>
      </c>
      <c r="W20" s="800"/>
      <c r="X20" s="688"/>
      <c r="Y20" s="1144" t="s">
        <v>644</v>
      </c>
      <c r="Z20" s="1145"/>
      <c r="AA20" s="1145"/>
      <c r="AB20" s="1145"/>
    </row>
    <row r="21" spans="2:28" s="380" customFormat="1" x14ac:dyDescent="0.25">
      <c r="B21" s="94"/>
      <c r="C21" s="381"/>
      <c r="D21" s="670"/>
      <c r="E21" s="657"/>
      <c r="F21" s="670"/>
      <c r="G21" s="92"/>
      <c r="H21" s="92"/>
      <c r="I21" s="657"/>
      <c r="J21" s="92"/>
      <c r="K21" s="657"/>
      <c r="L21" s="777"/>
      <c r="M21" s="92"/>
      <c r="N21" s="92"/>
      <c r="O21" s="657"/>
      <c r="P21" s="670"/>
      <c r="Q21" s="92"/>
      <c r="R21" s="92"/>
      <c r="S21" s="657"/>
      <c r="T21" s="92"/>
      <c r="U21" s="657"/>
      <c r="V21" s="802"/>
      <c r="W21" s="92"/>
      <c r="X21" s="657"/>
    </row>
    <row r="22" spans="2:28" s="380" customFormat="1" x14ac:dyDescent="0.25">
      <c r="B22" s="94"/>
      <c r="C22" s="381" t="s">
        <v>614</v>
      </c>
      <c r="D22" s="674">
        <v>250.16</v>
      </c>
      <c r="E22" s="671">
        <v>250.93</v>
      </c>
      <c r="F22" s="663">
        <f>$B$3-(D22-$E$3)</f>
        <v>63.84</v>
      </c>
      <c r="G22" s="373">
        <f>$B$3-(E22-$E$3)</f>
        <v>63.069999999999993</v>
      </c>
      <c r="H22" s="373">
        <v>6.67</v>
      </c>
      <c r="I22" s="664">
        <v>6.7</v>
      </c>
      <c r="J22" s="373"/>
      <c r="K22" s="664"/>
      <c r="L22" s="685">
        <v>-2.5</v>
      </c>
      <c r="M22" s="373">
        <v>-2.5</v>
      </c>
      <c r="N22" s="373">
        <v>8.74</v>
      </c>
      <c r="O22" s="664">
        <v>8.83</v>
      </c>
      <c r="P22" s="685">
        <v>1.7</v>
      </c>
      <c r="Q22" s="373">
        <v>1.5</v>
      </c>
      <c r="R22" s="805" t="s">
        <v>619</v>
      </c>
      <c r="S22" s="806" t="s">
        <v>618</v>
      </c>
      <c r="T22" s="373">
        <v>229.9</v>
      </c>
      <c r="U22" s="664">
        <v>220.3</v>
      </c>
      <c r="V22" s="803" t="s">
        <v>632</v>
      </c>
      <c r="W22" s="778">
        <f>(T22+U22)/(T22+U22+T23+U23)*100</f>
        <v>42.91706387035272</v>
      </c>
      <c r="X22" s="779">
        <f>(T22+U23)/(T22+U22+T23+U23)*100</f>
        <v>50.591039084842713</v>
      </c>
      <c r="Y22" s="399" t="s">
        <v>617</v>
      </c>
      <c r="Z22" s="399"/>
    </row>
    <row r="23" spans="2:28" s="380" customFormat="1" x14ac:dyDescent="0.25">
      <c r="B23" s="95"/>
      <c r="C23" s="96" t="s">
        <v>612</v>
      </c>
      <c r="D23" s="675">
        <v>300.55</v>
      </c>
      <c r="E23" s="666">
        <v>300.5</v>
      </c>
      <c r="F23" s="667">
        <f>$B$5-(D23-$E$5)</f>
        <v>90.349999999999966</v>
      </c>
      <c r="G23" s="669">
        <f>$B$5-(E23-$E$5)</f>
        <v>90.399999999999977</v>
      </c>
      <c r="H23" s="669">
        <v>8.9499999999999993</v>
      </c>
      <c r="I23" s="668">
        <v>8.5399999999999991</v>
      </c>
      <c r="J23" s="669"/>
      <c r="K23" s="668"/>
      <c r="L23" s="707" t="s">
        <v>625</v>
      </c>
      <c r="M23" s="797" t="s">
        <v>624</v>
      </c>
      <c r="N23" s="669">
        <v>5.53</v>
      </c>
      <c r="O23" s="668">
        <v>5.52</v>
      </c>
      <c r="P23" s="686">
        <v>-1.6</v>
      </c>
      <c r="Q23" s="669">
        <v>-1.7</v>
      </c>
      <c r="R23" s="669" t="s">
        <v>627</v>
      </c>
      <c r="S23" s="668" t="s">
        <v>626</v>
      </c>
      <c r="T23" s="669">
        <v>298</v>
      </c>
      <c r="U23" s="668">
        <v>300.8</v>
      </c>
      <c r="V23" s="804" t="s">
        <v>628</v>
      </c>
      <c r="W23" s="800"/>
      <c r="X23" s="688"/>
      <c r="Y23" s="815" t="s">
        <v>631</v>
      </c>
      <c r="Z23" s="816"/>
      <c r="AA23" s="515"/>
    </row>
    <row r="24" spans="2:28" s="380" customFormat="1" x14ac:dyDescent="0.25">
      <c r="B24" s="94"/>
      <c r="C24" s="381"/>
      <c r="D24" s="670"/>
      <c r="E24" s="657"/>
      <c r="F24" s="670"/>
      <c r="G24" s="92"/>
      <c r="H24" s="92"/>
      <c r="I24" s="657"/>
      <c r="J24" s="92"/>
      <c r="K24" s="657"/>
      <c r="L24" s="777"/>
      <c r="M24" s="92"/>
      <c r="N24" s="92"/>
      <c r="O24" s="657"/>
      <c r="P24" s="670"/>
      <c r="Q24" s="92"/>
      <c r="R24" s="92"/>
      <c r="S24" s="657"/>
      <c r="T24" s="92"/>
      <c r="U24" s="657"/>
      <c r="V24" s="802"/>
      <c r="W24" s="92"/>
      <c r="X24" s="657"/>
      <c r="Y24" s="399"/>
      <c r="Z24" s="399"/>
    </row>
    <row r="25" spans="2:28" s="380" customFormat="1" x14ac:dyDescent="0.25">
      <c r="B25" s="94"/>
      <c r="C25" s="381" t="s">
        <v>584</v>
      </c>
      <c r="D25" s="674"/>
      <c r="E25" s="671"/>
      <c r="F25" s="663"/>
      <c r="G25" s="373"/>
      <c r="H25" s="373"/>
      <c r="I25" s="664"/>
      <c r="J25" s="373"/>
      <c r="K25" s="664"/>
      <c r="L25" s="685"/>
      <c r="M25" s="373"/>
      <c r="N25" s="373"/>
      <c r="O25" s="664"/>
      <c r="P25" s="685"/>
      <c r="Q25" s="373"/>
      <c r="R25" s="373"/>
      <c r="S25" s="664"/>
      <c r="T25" s="373"/>
      <c r="U25" s="664"/>
      <c r="V25" s="803"/>
      <c r="W25" s="778"/>
      <c r="X25" s="779"/>
      <c r="Y25" s="399"/>
      <c r="Z25" s="399"/>
    </row>
    <row r="26" spans="2:28" s="380" customFormat="1" x14ac:dyDescent="0.25">
      <c r="B26" s="95"/>
      <c r="C26" s="96" t="s">
        <v>612</v>
      </c>
      <c r="D26" s="675"/>
      <c r="E26" s="666"/>
      <c r="F26" s="667"/>
      <c r="G26" s="669"/>
      <c r="H26" s="669"/>
      <c r="I26" s="668"/>
      <c r="J26" s="669"/>
      <c r="K26" s="668"/>
      <c r="L26" s="686"/>
      <c r="M26" s="669"/>
      <c r="N26" s="669"/>
      <c r="O26" s="668"/>
      <c r="P26" s="686"/>
      <c r="Q26" s="669"/>
      <c r="R26" s="669"/>
      <c r="S26" s="668"/>
      <c r="T26" s="669"/>
      <c r="U26" s="668"/>
      <c r="V26" s="804"/>
      <c r="W26" s="800"/>
      <c r="X26" s="688"/>
      <c r="Y26" s="399"/>
      <c r="Z26" s="399"/>
    </row>
    <row r="27" spans="2:28" x14ac:dyDescent="0.25">
      <c r="B27" s="94"/>
      <c r="C27" s="381"/>
      <c r="D27" s="670"/>
      <c r="E27" s="657"/>
      <c r="F27" s="670"/>
      <c r="G27" s="92"/>
      <c r="H27" s="92"/>
      <c r="I27" s="657"/>
      <c r="J27" s="92"/>
      <c r="K27" s="657"/>
      <c r="L27" s="777"/>
      <c r="M27" s="92"/>
      <c r="N27" s="92"/>
      <c r="O27" s="657"/>
      <c r="P27" s="670"/>
      <c r="Q27" s="92"/>
      <c r="R27" s="92"/>
      <c r="S27" s="657"/>
      <c r="T27" s="92"/>
      <c r="U27" s="657"/>
      <c r="V27" s="802"/>
      <c r="W27" s="92"/>
      <c r="X27" s="657"/>
      <c r="Y27" s="399"/>
      <c r="Z27" s="399"/>
    </row>
    <row r="28" spans="2:28" x14ac:dyDescent="0.25">
      <c r="B28" s="819" t="s">
        <v>635</v>
      </c>
      <c r="C28" s="381" t="s">
        <v>581</v>
      </c>
      <c r="D28" s="817">
        <v>248.24</v>
      </c>
      <c r="E28" s="818">
        <v>248.63</v>
      </c>
      <c r="F28" s="663">
        <f>$B$3-(D28-$E$3)</f>
        <v>65.759999999999991</v>
      </c>
      <c r="G28" s="373">
        <f>$B$3-(E28-$E$3)</f>
        <v>65.37</v>
      </c>
      <c r="H28" s="373">
        <v>6.67</v>
      </c>
      <c r="I28" s="664">
        <v>6.7</v>
      </c>
      <c r="J28" s="373"/>
      <c r="K28" s="664"/>
      <c r="L28" s="685">
        <v>-2.5</v>
      </c>
      <c r="M28" s="373">
        <v>-2.5</v>
      </c>
      <c r="N28" s="373">
        <v>8.74</v>
      </c>
      <c r="O28" s="664">
        <v>8.83</v>
      </c>
      <c r="P28" s="685">
        <v>1.7</v>
      </c>
      <c r="Q28" s="373">
        <v>1.5</v>
      </c>
      <c r="R28" s="805" t="s">
        <v>619</v>
      </c>
      <c r="S28" s="806" t="s">
        <v>618</v>
      </c>
      <c r="T28" s="840">
        <v>451.8</v>
      </c>
      <c r="U28" s="841"/>
      <c r="V28" s="803" t="s">
        <v>633</v>
      </c>
      <c r="W28" s="778">
        <f>(T28+U28)/(T28+U28+T29+U29)*100</f>
        <v>43.188987668482945</v>
      </c>
      <c r="X28" s="779">
        <f>(T28+U29)/(T28+U28+T29+U29)*100</f>
        <v>43.188987668482945</v>
      </c>
      <c r="Y28" s="399"/>
      <c r="Z28" s="399"/>
    </row>
    <row r="29" spans="2:28" x14ac:dyDescent="0.25">
      <c r="B29" s="820" t="s">
        <v>636</v>
      </c>
      <c r="C29" s="96" t="s">
        <v>612</v>
      </c>
      <c r="D29" s="675">
        <v>300.55</v>
      </c>
      <c r="E29" s="666">
        <v>300.5</v>
      </c>
      <c r="F29" s="667">
        <f>$B$5-(D29-$E$5)</f>
        <v>90.349999999999966</v>
      </c>
      <c r="G29" s="669">
        <f>$B$5-(E29-$E$5)</f>
        <v>90.399999999999977</v>
      </c>
      <c r="H29" s="669">
        <v>8.9499999999999993</v>
      </c>
      <c r="I29" s="668">
        <v>8.5399999999999991</v>
      </c>
      <c r="J29" s="669"/>
      <c r="K29" s="668"/>
      <c r="L29" s="707" t="s">
        <v>625</v>
      </c>
      <c r="M29" s="797" t="s">
        <v>624</v>
      </c>
      <c r="N29" s="669">
        <v>5.53</v>
      </c>
      <c r="O29" s="668">
        <v>5.52</v>
      </c>
      <c r="P29" s="686">
        <v>-1.6</v>
      </c>
      <c r="Q29" s="669">
        <v>-1.7</v>
      </c>
      <c r="R29" s="669" t="s">
        <v>627</v>
      </c>
      <c r="S29" s="668" t="s">
        <v>626</v>
      </c>
      <c r="T29" s="842">
        <v>594.29999999999995</v>
      </c>
      <c r="U29" s="843"/>
      <c r="V29" s="804" t="s">
        <v>634</v>
      </c>
      <c r="W29" s="800"/>
      <c r="X29" s="688"/>
      <c r="Y29" s="399"/>
      <c r="Z29" s="399"/>
    </row>
    <row r="30" spans="2:28" x14ac:dyDescent="0.25">
      <c r="B30" s="94"/>
      <c r="C30" s="381"/>
      <c r="D30" s="670"/>
      <c r="E30" s="657"/>
      <c r="F30" s="670"/>
      <c r="G30" s="92"/>
      <c r="H30" s="92"/>
      <c r="I30" s="657"/>
      <c r="J30" s="92"/>
      <c r="K30" s="657"/>
      <c r="L30" s="777"/>
      <c r="M30" s="92"/>
      <c r="N30" s="92"/>
      <c r="O30" s="657"/>
      <c r="P30" s="670"/>
      <c r="Q30" s="92"/>
      <c r="R30" s="92"/>
      <c r="S30" s="657"/>
      <c r="T30" s="92"/>
      <c r="U30" s="657"/>
      <c r="V30" s="802"/>
      <c r="W30" s="92"/>
      <c r="X30" s="657"/>
      <c r="Y30" s="399"/>
      <c r="Z30" s="399"/>
    </row>
    <row r="31" spans="2:28" x14ac:dyDescent="0.25">
      <c r="B31" s="819"/>
      <c r="C31" s="381" t="s">
        <v>647</v>
      </c>
      <c r="D31" s="865">
        <v>251.29</v>
      </c>
      <c r="E31" s="866">
        <v>251.69</v>
      </c>
      <c r="F31" s="663">
        <f>$B$3-(D31-$E$3)</f>
        <v>62.710000000000008</v>
      </c>
      <c r="G31" s="373">
        <f>$B$3-(E31-$E$3)</f>
        <v>62.31</v>
      </c>
      <c r="H31" s="373">
        <v>6.67</v>
      </c>
      <c r="I31" s="664">
        <v>6.7</v>
      </c>
      <c r="J31" s="373"/>
      <c r="K31" s="664"/>
      <c r="L31" s="685">
        <v>-2.5</v>
      </c>
      <c r="M31" s="373">
        <v>-2.5</v>
      </c>
      <c r="N31" s="373">
        <v>8.74</v>
      </c>
      <c r="O31" s="664">
        <v>8.83</v>
      </c>
      <c r="P31" s="685">
        <v>1.7</v>
      </c>
      <c r="Q31" s="373">
        <v>1.5</v>
      </c>
      <c r="R31" s="805" t="s">
        <v>619</v>
      </c>
      <c r="S31" s="806" t="s">
        <v>618</v>
      </c>
      <c r="T31" s="840">
        <v>251.4</v>
      </c>
      <c r="U31" s="841">
        <v>256.10000000000002</v>
      </c>
      <c r="V31" s="803" t="s">
        <v>633</v>
      </c>
      <c r="W31" s="778">
        <f>(T31+U31)/(T31+U31+T32+U32)*100</f>
        <v>44.919454770755891</v>
      </c>
      <c r="X31" s="779">
        <f>(T31+U32)/(T31+U31+T32+U32)*100</f>
        <v>49.159143211187825</v>
      </c>
      <c r="Y31" s="399"/>
      <c r="Z31" s="399"/>
    </row>
    <row r="32" spans="2:28" x14ac:dyDescent="0.25">
      <c r="B32" s="820"/>
      <c r="C32" s="96" t="s">
        <v>648</v>
      </c>
      <c r="D32" s="675">
        <v>300.55</v>
      </c>
      <c r="E32" s="666">
        <v>300.5</v>
      </c>
      <c r="F32" s="667">
        <f>$B$5-(D32-$E$5)</f>
        <v>90.349999999999966</v>
      </c>
      <c r="G32" s="669">
        <f>$B$5-(E32-$E$5)</f>
        <v>90.399999999999977</v>
      </c>
      <c r="H32" s="669">
        <v>8.9499999999999993</v>
      </c>
      <c r="I32" s="668">
        <v>8.5399999999999991</v>
      </c>
      <c r="J32" s="669"/>
      <c r="K32" s="668"/>
      <c r="L32" s="707" t="s">
        <v>625</v>
      </c>
      <c r="M32" s="797" t="s">
        <v>624</v>
      </c>
      <c r="N32" s="669">
        <v>5.53</v>
      </c>
      <c r="O32" s="668">
        <v>5.52</v>
      </c>
      <c r="P32" s="686">
        <v>-1.6</v>
      </c>
      <c r="Q32" s="669">
        <v>-1.7</v>
      </c>
      <c r="R32" s="669" t="s">
        <v>627</v>
      </c>
      <c r="S32" s="668" t="s">
        <v>626</v>
      </c>
      <c r="T32" s="842">
        <v>318.3</v>
      </c>
      <c r="U32" s="843">
        <v>304</v>
      </c>
      <c r="V32" s="804" t="s">
        <v>634</v>
      </c>
      <c r="W32" s="800"/>
      <c r="X32" s="688"/>
      <c r="Y32" s="399"/>
      <c r="Z32" s="399"/>
    </row>
    <row r="33" spans="2:27" x14ac:dyDescent="0.25">
      <c r="B33" s="94"/>
      <c r="C33" s="381"/>
      <c r="D33" s="670"/>
      <c r="E33" s="657"/>
      <c r="F33" s="670"/>
      <c r="G33" s="92"/>
      <c r="H33" s="92"/>
      <c r="I33" s="657"/>
      <c r="J33" s="92"/>
      <c r="K33" s="657"/>
      <c r="L33" s="777"/>
      <c r="M33" s="92"/>
      <c r="N33" s="92"/>
      <c r="O33" s="657"/>
      <c r="P33" s="670"/>
      <c r="Q33" s="92"/>
      <c r="R33" s="92"/>
      <c r="S33" s="657"/>
      <c r="T33" s="92"/>
      <c r="U33" s="657"/>
      <c r="V33" s="802"/>
      <c r="W33" s="92"/>
      <c r="X33" s="657"/>
      <c r="Y33" s="399"/>
      <c r="Z33" s="399"/>
    </row>
    <row r="34" spans="2:27" x14ac:dyDescent="0.25">
      <c r="B34" s="819"/>
      <c r="C34" s="381" t="s">
        <v>649</v>
      </c>
      <c r="D34" s="865">
        <v>250.1</v>
      </c>
      <c r="E34" s="866">
        <v>250.57</v>
      </c>
      <c r="F34" s="663">
        <f>$B$3-(D34-$E$3)</f>
        <v>63.900000000000006</v>
      </c>
      <c r="G34" s="373">
        <f>$B$3-(E34-$E$3)</f>
        <v>63.430000000000007</v>
      </c>
      <c r="H34" s="373">
        <v>8.11</v>
      </c>
      <c r="I34" s="664">
        <v>8.3699999999999992</v>
      </c>
      <c r="J34" s="373"/>
      <c r="K34" s="664"/>
      <c r="L34" s="685">
        <v>-2.5</v>
      </c>
      <c r="M34" s="373">
        <v>-2.5</v>
      </c>
      <c r="N34" s="373">
        <v>8.74</v>
      </c>
      <c r="O34" s="664">
        <v>8.83</v>
      </c>
      <c r="P34" s="685">
        <v>1.7</v>
      </c>
      <c r="Q34" s="373">
        <v>1.5</v>
      </c>
      <c r="R34" s="805" t="s">
        <v>619</v>
      </c>
      <c r="S34" s="806" t="s">
        <v>618</v>
      </c>
      <c r="T34" s="840">
        <v>251.4</v>
      </c>
      <c r="U34" s="841">
        <v>256.10000000000002</v>
      </c>
      <c r="V34" s="803" t="s">
        <v>633</v>
      </c>
      <c r="W34" s="778">
        <f>(T34+U34)/(T34+U34+T35+U35)*100</f>
        <v>44.919454770755891</v>
      </c>
      <c r="X34" s="779">
        <f>(T34+U35)/(T34+U34+T35+U35)*100</f>
        <v>49.159143211187825</v>
      </c>
      <c r="Y34" s="399"/>
      <c r="Z34" s="399"/>
    </row>
    <row r="35" spans="2:27" x14ac:dyDescent="0.25">
      <c r="B35" s="820"/>
      <c r="C35" s="96" t="s">
        <v>648</v>
      </c>
      <c r="D35" s="675">
        <v>300.55</v>
      </c>
      <c r="E35" s="666">
        <v>300.5</v>
      </c>
      <c r="F35" s="667">
        <f>$B$5-(D35-$E$5)</f>
        <v>90.349999999999966</v>
      </c>
      <c r="G35" s="669">
        <f>$B$5-(E35-$E$5)</f>
        <v>90.399999999999977</v>
      </c>
      <c r="H35" s="669">
        <v>8.9499999999999993</v>
      </c>
      <c r="I35" s="668">
        <v>8.5399999999999991</v>
      </c>
      <c r="J35" s="669"/>
      <c r="K35" s="668"/>
      <c r="L35" s="707" t="s">
        <v>625</v>
      </c>
      <c r="M35" s="797" t="s">
        <v>624</v>
      </c>
      <c r="N35" s="669">
        <v>5.53</v>
      </c>
      <c r="O35" s="668">
        <v>5.52</v>
      </c>
      <c r="P35" s="686">
        <v>-1.6</v>
      </c>
      <c r="Q35" s="669">
        <v>-1.7</v>
      </c>
      <c r="R35" s="669" t="s">
        <v>627</v>
      </c>
      <c r="S35" s="668" t="s">
        <v>626</v>
      </c>
      <c r="T35" s="842">
        <v>318.3</v>
      </c>
      <c r="U35" s="843">
        <v>304</v>
      </c>
      <c r="V35" s="804" t="s">
        <v>634</v>
      </c>
      <c r="W35" s="800"/>
      <c r="X35" s="688"/>
      <c r="Y35" s="399"/>
      <c r="Z35" s="399"/>
    </row>
    <row r="36" spans="2:27" x14ac:dyDescent="0.25">
      <c r="B36" s="94"/>
      <c r="C36" s="381"/>
      <c r="D36" s="670"/>
      <c r="E36" s="657"/>
      <c r="F36" s="670"/>
      <c r="G36" s="92"/>
      <c r="H36" s="92"/>
      <c r="I36" s="657"/>
      <c r="J36" s="92"/>
      <c r="K36" s="657"/>
      <c r="L36" s="777"/>
      <c r="M36" s="92"/>
      <c r="N36" s="92"/>
      <c r="O36" s="657"/>
      <c r="P36" s="670"/>
      <c r="Q36" s="92"/>
      <c r="R36" s="92"/>
      <c r="S36" s="657"/>
      <c r="T36" s="92"/>
      <c r="U36" s="657"/>
      <c r="V36" s="802"/>
      <c r="W36" s="92"/>
      <c r="X36" s="657"/>
      <c r="Y36" s="815" t="s">
        <v>631</v>
      </c>
      <c r="Z36" s="816"/>
      <c r="AA36" s="515"/>
    </row>
    <row r="37" spans="2:27" x14ac:dyDescent="0.25">
      <c r="B37" s="819"/>
      <c r="C37" s="381" t="s">
        <v>650</v>
      </c>
      <c r="D37" s="865">
        <v>250.82</v>
      </c>
      <c r="E37" s="866">
        <v>250.68</v>
      </c>
      <c r="F37" s="663">
        <f>$B$3-(D37-$E$3)</f>
        <v>63.180000000000007</v>
      </c>
      <c r="G37" s="373">
        <f>$B$3-(E37-$E$3)</f>
        <v>63.319999999999993</v>
      </c>
      <c r="H37" s="373" t="s">
        <v>661</v>
      </c>
      <c r="I37" s="664" t="s">
        <v>662</v>
      </c>
      <c r="J37" s="373"/>
      <c r="K37" s="664"/>
      <c r="L37" s="685">
        <v>-2.5</v>
      </c>
      <c r="M37" s="373">
        <v>-2.8</v>
      </c>
      <c r="N37" s="869">
        <v>8.65</v>
      </c>
      <c r="O37" s="870">
        <v>8.6999999999999993</v>
      </c>
      <c r="P37" s="685">
        <v>1.5</v>
      </c>
      <c r="Q37" s="373">
        <v>1.4</v>
      </c>
      <c r="R37" s="876" t="s">
        <v>619</v>
      </c>
      <c r="S37" s="871" t="s">
        <v>618</v>
      </c>
      <c r="T37" s="840">
        <v>250.7</v>
      </c>
      <c r="U37" s="841">
        <v>255.4</v>
      </c>
      <c r="V37" s="803" t="s">
        <v>633</v>
      </c>
      <c r="W37" s="778">
        <f>(T37+U37)/(T37+U37+T38+U38)*100</f>
        <v>45.090876692801139</v>
      </c>
      <c r="X37" s="779">
        <f>(T37+U38)/(T37+U37+T38+U38)*100</f>
        <v>49.144689950106901</v>
      </c>
      <c r="Y37" s="867" t="s">
        <v>651</v>
      </c>
      <c r="Z37" s="399"/>
    </row>
    <row r="38" spans="2:27" x14ac:dyDescent="0.25">
      <c r="B38" s="820"/>
      <c r="C38" s="96" t="s">
        <v>648</v>
      </c>
      <c r="D38" s="675">
        <v>296.23</v>
      </c>
      <c r="E38" s="666">
        <v>295.95</v>
      </c>
      <c r="F38" s="667">
        <f>$B$5-(D38-$E$5)</f>
        <v>94.669999999999959</v>
      </c>
      <c r="G38" s="669">
        <f>$B$5-(E38-$E$5)</f>
        <v>94.949999999999989</v>
      </c>
      <c r="H38" s="669">
        <v>9.6999999999999993</v>
      </c>
      <c r="I38" s="668">
        <v>9.58</v>
      </c>
      <c r="J38" s="669"/>
      <c r="K38" s="668"/>
      <c r="L38" s="707">
        <v>-2.1</v>
      </c>
      <c r="M38" s="797">
        <v>-1.9</v>
      </c>
      <c r="N38" s="875">
        <v>5.5</v>
      </c>
      <c r="O38" s="873">
        <v>5.47</v>
      </c>
      <c r="P38" s="686">
        <v>-1.5</v>
      </c>
      <c r="Q38" s="669">
        <v>-1.5</v>
      </c>
      <c r="R38" s="874" t="s">
        <v>655</v>
      </c>
      <c r="S38" s="872" t="s">
        <v>654</v>
      </c>
      <c r="T38" s="842">
        <v>315.39999999999998</v>
      </c>
      <c r="U38" s="843">
        <v>300.89999999999998</v>
      </c>
      <c r="V38" s="804" t="s">
        <v>634</v>
      </c>
      <c r="W38" s="800"/>
      <c r="X38" s="688"/>
      <c r="Y38" s="868">
        <v>1122.4000000000001</v>
      </c>
    </row>
    <row r="39" spans="2:27" x14ac:dyDescent="0.25">
      <c r="B39" s="94"/>
      <c r="C39" s="381"/>
      <c r="D39" s="670"/>
      <c r="E39" s="657"/>
      <c r="F39" s="670"/>
      <c r="G39" s="92"/>
      <c r="H39" s="92"/>
      <c r="I39" s="657"/>
      <c r="J39" s="92"/>
      <c r="K39" s="657"/>
      <c r="L39" s="777"/>
      <c r="M39" s="92"/>
      <c r="N39" s="92"/>
      <c r="O39" s="657"/>
      <c r="P39" s="670"/>
      <c r="Q39" s="92"/>
      <c r="R39" s="92"/>
      <c r="S39" s="657"/>
      <c r="T39" s="92"/>
      <c r="U39" s="657"/>
      <c r="V39" s="802"/>
      <c r="W39" s="92"/>
      <c r="X39" s="657"/>
      <c r="Y39" s="815" t="s">
        <v>658</v>
      </c>
      <c r="Z39" s="816"/>
      <c r="AA39" s="515"/>
    </row>
    <row r="40" spans="2:27" x14ac:dyDescent="0.25">
      <c r="B40" s="819"/>
      <c r="C40" s="82" t="s">
        <v>652</v>
      </c>
      <c r="D40" s="865">
        <v>249.13</v>
      </c>
      <c r="E40" s="866">
        <v>248.97</v>
      </c>
      <c r="F40" s="889">
        <f>$B$3-(D40-$E$3)</f>
        <v>64.87</v>
      </c>
      <c r="G40" s="884">
        <f>$B$3-(E40-$E$3)</f>
        <v>65.03</v>
      </c>
      <c r="H40" s="884">
        <v>8</v>
      </c>
      <c r="I40" s="890">
        <v>7.85</v>
      </c>
      <c r="J40" s="373"/>
      <c r="K40" s="664"/>
      <c r="L40" s="883">
        <v>-2.2000000000000002</v>
      </c>
      <c r="M40" s="884">
        <v>-2.2000000000000002</v>
      </c>
      <c r="N40" s="877">
        <v>9.9</v>
      </c>
      <c r="O40" s="878">
        <v>9.9</v>
      </c>
      <c r="P40" s="883">
        <v>2.4</v>
      </c>
      <c r="Q40" s="884">
        <v>2.5</v>
      </c>
      <c r="R40" s="881">
        <v>13.81</v>
      </c>
      <c r="S40" s="882">
        <v>13.35</v>
      </c>
      <c r="T40" s="893">
        <v>251</v>
      </c>
      <c r="U40" s="894">
        <v>252.1</v>
      </c>
      <c r="V40" s="803" t="s">
        <v>633</v>
      </c>
      <c r="W40" s="778">
        <f>(T40+U40)/(T40+U40+T41+U41)*100</f>
        <v>44.963803735811958</v>
      </c>
      <c r="X40" s="779">
        <f>(T40+U41)/(T40+U40+T41+U41)*100</f>
        <v>49.584413263026178</v>
      </c>
      <c r="Y40" s="867" t="s">
        <v>651</v>
      </c>
      <c r="Z40" s="399"/>
      <c r="AA40" s="380"/>
    </row>
    <row r="41" spans="2:27" x14ac:dyDescent="0.25">
      <c r="B41" s="820"/>
      <c r="C41" s="96" t="s">
        <v>653</v>
      </c>
      <c r="D41" s="675">
        <v>297.35000000000002</v>
      </c>
      <c r="E41" s="666">
        <v>297.33999999999997</v>
      </c>
      <c r="F41" s="891">
        <f>$B$5-(D41-$E$5)</f>
        <v>93.549999999999955</v>
      </c>
      <c r="G41" s="888">
        <f>$B$5-(E41-$E$5)</f>
        <v>93.56</v>
      </c>
      <c r="H41" s="888">
        <v>9.6999999999999993</v>
      </c>
      <c r="I41" s="892">
        <v>9.58</v>
      </c>
      <c r="J41" s="669"/>
      <c r="K41" s="668"/>
      <c r="L41" s="885">
        <v>-1.8</v>
      </c>
      <c r="M41" s="886">
        <v>-1.5</v>
      </c>
      <c r="N41" s="879">
        <v>6.38</v>
      </c>
      <c r="O41" s="880">
        <v>7.3</v>
      </c>
      <c r="P41" s="887">
        <v>-1.1000000000000001</v>
      </c>
      <c r="Q41" s="888">
        <v>-1</v>
      </c>
      <c r="R41" s="879" t="s">
        <v>657</v>
      </c>
      <c r="S41" s="880" t="s">
        <v>656</v>
      </c>
      <c r="T41" s="895">
        <v>312</v>
      </c>
      <c r="U41" s="896">
        <v>303.8</v>
      </c>
      <c r="V41" s="804" t="s">
        <v>634</v>
      </c>
      <c r="W41" s="800"/>
      <c r="X41" s="688"/>
      <c r="Y41" s="868">
        <v>1118.9000000000001</v>
      </c>
      <c r="AA41" s="380"/>
    </row>
    <row r="42" spans="2:27" s="380" customFormat="1" x14ac:dyDescent="0.25">
      <c r="B42" s="94"/>
      <c r="C42" s="381"/>
      <c r="D42" s="670"/>
      <c r="E42" s="657"/>
      <c r="F42" s="670"/>
      <c r="G42" s="92"/>
      <c r="H42" s="92"/>
      <c r="I42" s="657"/>
      <c r="J42" s="92"/>
      <c r="K42" s="657"/>
      <c r="L42" s="777"/>
      <c r="M42" s="92"/>
      <c r="N42" s="92"/>
      <c r="O42" s="657"/>
      <c r="P42" s="670"/>
      <c r="Q42" s="92"/>
      <c r="R42" s="92"/>
      <c r="S42" s="657"/>
      <c r="T42" s="92"/>
      <c r="U42" s="657"/>
      <c r="V42" s="802"/>
      <c r="W42" s="92"/>
      <c r="X42" s="657"/>
    </row>
    <row r="43" spans="2:27" s="380" customFormat="1" x14ac:dyDescent="0.25">
      <c r="B43" s="819"/>
      <c r="C43" s="82" t="s">
        <v>652</v>
      </c>
      <c r="D43" s="865"/>
      <c r="E43" s="866"/>
      <c r="F43" s="889">
        <f>$B$3-(D43-$E$3)</f>
        <v>314</v>
      </c>
      <c r="G43" s="884">
        <f>$B$3-(E43-$E$3)</f>
        <v>314</v>
      </c>
      <c r="H43" s="884"/>
      <c r="I43" s="890"/>
      <c r="J43" s="373"/>
      <c r="K43" s="664"/>
      <c r="L43" s="883"/>
      <c r="M43" s="884"/>
      <c r="N43" s="877"/>
      <c r="O43" s="878"/>
      <c r="P43" s="883"/>
      <c r="Q43" s="884"/>
      <c r="R43" s="881"/>
      <c r="S43" s="882"/>
      <c r="T43" s="893"/>
      <c r="U43" s="894"/>
      <c r="V43" s="803"/>
      <c r="W43" s="778" t="e">
        <f>(T43+U43)/(T43+U43+T44+U44)*100</f>
        <v>#DIV/0!</v>
      </c>
      <c r="X43" s="779" t="e">
        <f>(T43+U44)/(T43+U43+T44+U44)*100</f>
        <v>#DIV/0!</v>
      </c>
    </row>
    <row r="44" spans="2:27" s="380" customFormat="1" x14ac:dyDescent="0.25">
      <c r="B44" s="820"/>
      <c r="C44" s="96" t="s">
        <v>768</v>
      </c>
      <c r="D44" s="675"/>
      <c r="E44" s="666"/>
      <c r="F44" s="891">
        <f>$B$5-(D44-$E$5)</f>
        <v>390.9</v>
      </c>
      <c r="G44" s="888">
        <f>$B$5-(E44-$E$5)</f>
        <v>390.9</v>
      </c>
      <c r="H44" s="888"/>
      <c r="I44" s="892"/>
      <c r="J44" s="669"/>
      <c r="K44" s="668"/>
      <c r="L44" s="885"/>
      <c r="M44" s="886"/>
      <c r="N44" s="879"/>
      <c r="O44" s="880"/>
      <c r="P44" s="887"/>
      <c r="Q44" s="888"/>
      <c r="R44" s="879"/>
      <c r="S44" s="880"/>
      <c r="T44" s="895"/>
      <c r="U44" s="896"/>
      <c r="V44" s="804"/>
      <c r="W44" s="800"/>
      <c r="X44" s="688"/>
    </row>
    <row r="45" spans="2:27" s="380" customFormat="1" x14ac:dyDescent="0.25">
      <c r="B45" s="94"/>
      <c r="C45" s="381"/>
      <c r="D45" s="670"/>
      <c r="E45" s="657"/>
      <c r="F45" s="670"/>
      <c r="G45" s="92"/>
      <c r="H45" s="92"/>
      <c r="I45" s="657"/>
      <c r="J45" s="92"/>
      <c r="K45" s="657"/>
      <c r="L45" s="777"/>
      <c r="M45" s="92"/>
      <c r="N45" s="92"/>
      <c r="O45" s="657"/>
      <c r="P45" s="670"/>
      <c r="Q45" s="92"/>
      <c r="R45" s="92"/>
      <c r="S45" s="657"/>
      <c r="T45" s="92"/>
      <c r="U45" s="657"/>
      <c r="V45" s="802"/>
      <c r="W45" s="92"/>
      <c r="X45" s="657"/>
    </row>
    <row r="46" spans="2:27" s="380" customFormat="1" x14ac:dyDescent="0.25">
      <c r="B46" s="819"/>
      <c r="C46" s="82" t="s">
        <v>652</v>
      </c>
      <c r="D46" s="865"/>
      <c r="E46" s="866"/>
      <c r="F46" s="889">
        <f>$B$3-(D46-$E$3)</f>
        <v>314</v>
      </c>
      <c r="G46" s="884">
        <f>$B$3-(E46-$E$3)</f>
        <v>314</v>
      </c>
      <c r="H46" s="884"/>
      <c r="I46" s="890"/>
      <c r="J46" s="373"/>
      <c r="K46" s="664"/>
      <c r="L46" s="883"/>
      <c r="M46" s="884"/>
      <c r="N46" s="877"/>
      <c r="O46" s="878"/>
      <c r="P46" s="883"/>
      <c r="Q46" s="884"/>
      <c r="R46" s="881"/>
      <c r="S46" s="882"/>
      <c r="T46" s="893"/>
      <c r="U46" s="894"/>
      <c r="V46" s="803"/>
      <c r="W46" s="778" t="e">
        <f>(T46+U46)/(T46+U46+T47+U47)*100</f>
        <v>#DIV/0!</v>
      </c>
      <c r="X46" s="779" t="e">
        <f>(T46+U47)/(T46+U46+T47+U47)*100</f>
        <v>#DIV/0!</v>
      </c>
    </row>
    <row r="47" spans="2:27" s="380" customFormat="1" x14ac:dyDescent="0.25">
      <c r="B47" s="820"/>
      <c r="C47" s="96" t="s">
        <v>653</v>
      </c>
      <c r="D47" s="675"/>
      <c r="E47" s="666"/>
      <c r="F47" s="891">
        <f>$B$5-(D47-$E$5)</f>
        <v>390.9</v>
      </c>
      <c r="G47" s="888">
        <f>$B$5-(E47-$E$5)</f>
        <v>390.9</v>
      </c>
      <c r="H47" s="888"/>
      <c r="I47" s="892"/>
      <c r="J47" s="669"/>
      <c r="K47" s="668"/>
      <c r="L47" s="885"/>
      <c r="M47" s="886"/>
      <c r="N47" s="879"/>
      <c r="O47" s="880"/>
      <c r="P47" s="887"/>
      <c r="Q47" s="888"/>
      <c r="R47" s="879"/>
      <c r="S47" s="880"/>
      <c r="T47" s="895"/>
      <c r="U47" s="896"/>
      <c r="V47" s="804"/>
      <c r="W47" s="800"/>
      <c r="X47" s="688"/>
    </row>
  </sheetData>
  <mergeCells count="4">
    <mergeCell ref="AB11:AC11"/>
    <mergeCell ref="Y19:AB19"/>
    <mergeCell ref="Y20:AB20"/>
    <mergeCell ref="Y18:AB18"/>
  </mergeCells>
  <pageMargins left="0.7" right="0.7" top="0.75" bottom="0.75" header="0.3" footer="0.3"/>
  <pageSetup paperSize="9" orientation="portrait" r:id="rId1"/>
  <ignoredErrors>
    <ignoredError sqref="R16:S16 R22:S22 R28:S28 R19:S19 R31:S31 R34:S34 R37:S37" numberStoredAsText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34B5-725A-45DE-A617-FC7D9AFAD7BA}">
  <sheetPr codeName="Sheet5">
    <pageSetUpPr fitToPage="1"/>
  </sheetPr>
  <dimension ref="A1:I47"/>
  <sheetViews>
    <sheetView showGridLines="0" zoomScale="70" zoomScaleNormal="70" workbookViewId="0">
      <selection sqref="A1:D1"/>
    </sheetView>
  </sheetViews>
  <sheetFormatPr defaultColWidth="9.140625" defaultRowHeight="15" x14ac:dyDescent="0.25"/>
  <cols>
    <col min="1" max="1" width="51.28515625" style="903" customWidth="1"/>
    <col min="2" max="2" width="24.28515625" style="903" customWidth="1"/>
    <col min="3" max="3" width="26.28515625" style="903" customWidth="1"/>
    <col min="4" max="4" width="27.7109375" style="903" customWidth="1"/>
    <col min="5" max="5" width="3.7109375" style="903" customWidth="1"/>
    <col min="6" max="6" width="19.5703125" style="380" customWidth="1"/>
    <col min="7" max="7" width="11.42578125" style="380" customWidth="1"/>
    <col min="8" max="8" width="14.7109375" style="380" customWidth="1"/>
    <col min="9" max="9" width="11.42578125" style="380" customWidth="1"/>
    <col min="10" max="16384" width="9.140625" style="380"/>
  </cols>
  <sheetData>
    <row r="1" spans="1:9" s="923" customFormat="1" ht="23.25" x14ac:dyDescent="0.35">
      <c r="A1" s="1172" t="s">
        <v>708</v>
      </c>
      <c r="B1" s="1173"/>
      <c r="C1" s="1173"/>
      <c r="D1" s="1174"/>
      <c r="F1" s="924"/>
      <c r="G1" s="924"/>
      <c r="H1" s="924"/>
      <c r="I1" s="924"/>
    </row>
    <row r="2" spans="1:9" s="903" customFormat="1" x14ac:dyDescent="0.25">
      <c r="A2" s="1175" t="s">
        <v>668</v>
      </c>
      <c r="B2" s="1177" t="s">
        <v>699</v>
      </c>
      <c r="C2" s="1179" t="s">
        <v>669</v>
      </c>
      <c r="D2" s="1181">
        <v>44336</v>
      </c>
      <c r="F2" s="380"/>
      <c r="G2" s="380"/>
      <c r="H2" s="380"/>
      <c r="I2" s="380"/>
    </row>
    <row r="3" spans="1:9" s="903" customFormat="1" x14ac:dyDescent="0.25">
      <c r="A3" s="1176"/>
      <c r="B3" s="1178"/>
      <c r="C3" s="1180"/>
      <c r="D3" s="1182"/>
      <c r="F3" s="380"/>
      <c r="G3" s="380"/>
      <c r="H3" s="380"/>
      <c r="I3" s="380"/>
    </row>
    <row r="4" spans="1:9" s="903" customFormat="1" ht="21" x14ac:dyDescent="0.35">
      <c r="A4" s="1169" t="s">
        <v>670</v>
      </c>
      <c r="B4" s="1170"/>
      <c r="C4" s="1170"/>
      <c r="D4" s="1171"/>
      <c r="F4" s="380"/>
      <c r="G4" s="380"/>
      <c r="H4" s="380"/>
      <c r="I4" s="380"/>
    </row>
    <row r="5" spans="1:9" s="903" customFormat="1" ht="18.75" x14ac:dyDescent="0.25">
      <c r="A5" s="940" t="s">
        <v>671</v>
      </c>
      <c r="B5" s="941"/>
      <c r="C5" s="941" t="s">
        <v>672</v>
      </c>
      <c r="D5" s="942" t="s">
        <v>673</v>
      </c>
      <c r="F5" s="925" t="s">
        <v>709</v>
      </c>
      <c r="G5" s="926"/>
      <c r="H5" s="927"/>
      <c r="I5" s="927"/>
    </row>
    <row r="6" spans="1:9" s="903" customFormat="1" ht="20.100000000000001" customHeight="1" x14ac:dyDescent="0.25">
      <c r="A6" s="904" t="s">
        <v>674</v>
      </c>
      <c r="B6" s="905">
        <v>5</v>
      </c>
      <c r="C6" s="906" t="s">
        <v>675</v>
      </c>
      <c r="D6" s="907" t="s">
        <v>676</v>
      </c>
      <c r="F6" s="938" t="s">
        <v>711</v>
      </c>
      <c r="G6" s="939" t="s">
        <v>249</v>
      </c>
      <c r="H6" s="939" t="s">
        <v>712</v>
      </c>
      <c r="I6" s="939" t="s">
        <v>720</v>
      </c>
    </row>
    <row r="7" spans="1:9" s="903" customFormat="1" ht="20.100000000000001" customHeight="1" x14ac:dyDescent="0.25">
      <c r="A7" s="904" t="s">
        <v>677</v>
      </c>
      <c r="B7" s="905" t="s">
        <v>678</v>
      </c>
      <c r="C7" s="906" t="s">
        <v>679</v>
      </c>
      <c r="D7" s="907" t="s">
        <v>680</v>
      </c>
      <c r="F7" s="928" t="s">
        <v>710</v>
      </c>
      <c r="G7" s="928">
        <v>1</v>
      </c>
      <c r="H7" s="928">
        <v>15</v>
      </c>
      <c r="I7" s="928" t="s">
        <v>721</v>
      </c>
    </row>
    <row r="8" spans="1:9" s="903" customFormat="1" ht="20.100000000000001" customHeight="1" x14ac:dyDescent="0.25">
      <c r="A8" s="904" t="s">
        <v>681</v>
      </c>
      <c r="B8" s="905">
        <v>7</v>
      </c>
      <c r="C8" s="906" t="s">
        <v>675</v>
      </c>
      <c r="D8" s="907"/>
      <c r="F8" s="928" t="s">
        <v>713</v>
      </c>
      <c r="G8" s="928">
        <v>2</v>
      </c>
      <c r="H8" s="928">
        <v>10</v>
      </c>
      <c r="I8" s="929" t="s">
        <v>722</v>
      </c>
    </row>
    <row r="9" spans="1:9" s="903" customFormat="1" ht="20.100000000000001" customHeight="1" x14ac:dyDescent="0.25">
      <c r="A9" s="904" t="s">
        <v>682</v>
      </c>
      <c r="B9" s="905">
        <v>20</v>
      </c>
      <c r="C9" s="906" t="s">
        <v>67</v>
      </c>
      <c r="D9" s="907"/>
      <c r="F9" s="928" t="s">
        <v>714</v>
      </c>
      <c r="G9" s="928">
        <v>3</v>
      </c>
      <c r="H9" s="928">
        <v>5</v>
      </c>
      <c r="I9" s="930" t="s">
        <v>724</v>
      </c>
    </row>
    <row r="10" spans="1:9" s="903" customFormat="1" ht="20.100000000000001" customHeight="1" x14ac:dyDescent="0.25">
      <c r="A10" s="908" t="s">
        <v>683</v>
      </c>
      <c r="B10" s="909">
        <v>15</v>
      </c>
      <c r="C10" s="910" t="s">
        <v>67</v>
      </c>
      <c r="D10" s="911"/>
      <c r="F10" s="928" t="s">
        <v>715</v>
      </c>
      <c r="G10" s="928">
        <v>4</v>
      </c>
      <c r="H10" s="928">
        <v>4.71</v>
      </c>
      <c r="I10" s="931" t="s">
        <v>723</v>
      </c>
    </row>
    <row r="11" spans="1:9" s="903" customFormat="1" ht="20.100000000000001" customHeight="1" x14ac:dyDescent="0.25">
      <c r="A11" s="908" t="s">
        <v>684</v>
      </c>
      <c r="B11" s="909">
        <v>25</v>
      </c>
      <c r="C11" s="910" t="s">
        <v>685</v>
      </c>
      <c r="D11" s="911" t="s">
        <v>686</v>
      </c>
      <c r="F11" s="928" t="s">
        <v>716</v>
      </c>
      <c r="G11" s="928">
        <v>5</v>
      </c>
      <c r="H11" s="928">
        <v>2.54</v>
      </c>
      <c r="I11" s="932" t="s">
        <v>725</v>
      </c>
    </row>
    <row r="12" spans="1:9" s="903" customFormat="1" ht="20.100000000000001" customHeight="1" x14ac:dyDescent="0.25">
      <c r="A12" s="904" t="s">
        <v>687</v>
      </c>
      <c r="B12" s="922">
        <v>16.8</v>
      </c>
      <c r="C12" s="906" t="s">
        <v>67</v>
      </c>
      <c r="D12" s="907" t="s">
        <v>704</v>
      </c>
      <c r="F12" s="928" t="s">
        <v>717</v>
      </c>
      <c r="G12" s="928">
        <v>6</v>
      </c>
      <c r="H12" s="928">
        <v>1.87</v>
      </c>
      <c r="I12" s="933" t="s">
        <v>726</v>
      </c>
    </row>
    <row r="13" spans="1:9" s="903" customFormat="1" ht="20.100000000000001" customHeight="1" x14ac:dyDescent="0.25">
      <c r="A13" s="904" t="s">
        <v>688</v>
      </c>
      <c r="B13" s="922">
        <v>19.100000000000001</v>
      </c>
      <c r="C13" s="906" t="s">
        <v>67</v>
      </c>
      <c r="D13" s="907" t="s">
        <v>705</v>
      </c>
      <c r="F13" s="928" t="s">
        <v>718</v>
      </c>
      <c r="G13" s="928">
        <v>7</v>
      </c>
      <c r="H13" s="928">
        <v>1.66</v>
      </c>
      <c r="I13" s="934" t="s">
        <v>727</v>
      </c>
    </row>
    <row r="14" spans="1:9" s="903" customFormat="1" ht="20.100000000000001" customHeight="1" x14ac:dyDescent="0.25">
      <c r="A14" s="912" t="s">
        <v>689</v>
      </c>
      <c r="B14" s="913" t="s">
        <v>528</v>
      </c>
      <c r="C14" s="914" t="s">
        <v>67</v>
      </c>
      <c r="D14" s="915"/>
      <c r="F14" s="928" t="s">
        <v>719</v>
      </c>
      <c r="G14" s="928">
        <v>8</v>
      </c>
      <c r="H14" s="935" t="s">
        <v>730</v>
      </c>
      <c r="I14" s="936" t="s">
        <v>728</v>
      </c>
    </row>
    <row r="15" spans="1:9" s="903" customFormat="1" ht="20.100000000000001" customHeight="1" x14ac:dyDescent="0.25">
      <c r="A15" s="912" t="s">
        <v>690</v>
      </c>
      <c r="B15" s="913">
        <v>20</v>
      </c>
      <c r="C15" s="914" t="s">
        <v>685</v>
      </c>
      <c r="D15" s="915" t="s">
        <v>686</v>
      </c>
      <c r="F15" s="937" t="s">
        <v>731</v>
      </c>
      <c r="G15" s="380"/>
      <c r="H15" s="380"/>
      <c r="I15" s="380"/>
    </row>
    <row r="16" spans="1:9" s="903" customFormat="1" ht="20.100000000000001" customHeight="1" x14ac:dyDescent="0.25">
      <c r="A16" s="912" t="s">
        <v>691</v>
      </c>
      <c r="B16" s="913">
        <v>8</v>
      </c>
      <c r="C16" s="914" t="s">
        <v>679</v>
      </c>
      <c r="D16" s="915" t="s">
        <v>750</v>
      </c>
      <c r="I16" s="381"/>
    </row>
    <row r="17" spans="1:9" s="903" customFormat="1" ht="20.100000000000001" customHeight="1" x14ac:dyDescent="0.25">
      <c r="A17" s="912" t="s">
        <v>692</v>
      </c>
      <c r="B17" s="913">
        <v>10</v>
      </c>
      <c r="C17" s="914" t="s">
        <v>67</v>
      </c>
      <c r="D17" s="943"/>
      <c r="F17" s="925" t="s">
        <v>729</v>
      </c>
      <c r="G17" s="926"/>
      <c r="H17" s="927"/>
      <c r="I17" s="380"/>
    </row>
    <row r="18" spans="1:9" s="903" customFormat="1" ht="21" x14ac:dyDescent="0.25">
      <c r="A18" s="1148" t="s">
        <v>693</v>
      </c>
      <c r="B18" s="1149"/>
      <c r="C18" s="1149"/>
      <c r="D18" s="1150"/>
      <c r="F18" s="938" t="s">
        <v>711</v>
      </c>
      <c r="G18" s="939" t="s">
        <v>249</v>
      </c>
      <c r="H18" s="939" t="s">
        <v>749</v>
      </c>
      <c r="I18" s="380"/>
    </row>
    <row r="19" spans="1:9" s="903" customFormat="1" ht="20.100000000000001" customHeight="1" x14ac:dyDescent="0.25">
      <c r="A19" s="904" t="s">
        <v>694</v>
      </c>
      <c r="B19" s="906">
        <v>10</v>
      </c>
      <c r="C19" s="906" t="s">
        <v>67</v>
      </c>
      <c r="D19" s="944"/>
      <c r="F19" s="928" t="s">
        <v>732</v>
      </c>
      <c r="G19" s="928">
        <v>1</v>
      </c>
      <c r="H19" s="928">
        <v>5</v>
      </c>
      <c r="I19" s="380"/>
    </row>
    <row r="20" spans="1:9" s="903" customFormat="1" ht="21" x14ac:dyDescent="0.25">
      <c r="A20" s="1151" t="s">
        <v>695</v>
      </c>
      <c r="B20" s="1152"/>
      <c r="C20" s="1152"/>
      <c r="D20" s="1153"/>
      <c r="F20" s="928" t="s">
        <v>733</v>
      </c>
      <c r="G20" s="928">
        <v>2</v>
      </c>
      <c r="H20" s="928">
        <v>10</v>
      </c>
      <c r="I20" s="380"/>
    </row>
    <row r="21" spans="1:9" s="903" customFormat="1" ht="20.100000000000001" customHeight="1" x14ac:dyDescent="0.25">
      <c r="A21" s="916" t="s">
        <v>696</v>
      </c>
      <c r="B21" s="917"/>
      <c r="C21" s="917"/>
      <c r="D21" s="945"/>
      <c r="F21" s="928" t="s">
        <v>734</v>
      </c>
      <c r="G21" s="928">
        <v>3</v>
      </c>
      <c r="H21" s="928">
        <v>15</v>
      </c>
      <c r="I21" s="380"/>
    </row>
    <row r="22" spans="1:9" s="903" customFormat="1" ht="20.100000000000001" customHeight="1" x14ac:dyDescent="0.25">
      <c r="A22" s="916" t="s">
        <v>697</v>
      </c>
      <c r="B22" s="917"/>
      <c r="C22" s="917"/>
      <c r="D22" s="945"/>
      <c r="F22" s="928" t="s">
        <v>735</v>
      </c>
      <c r="G22" s="928">
        <v>4</v>
      </c>
      <c r="H22" s="928">
        <v>20</v>
      </c>
      <c r="I22" s="380"/>
    </row>
    <row r="23" spans="1:9" s="903" customFormat="1" ht="21" x14ac:dyDescent="0.25">
      <c r="A23" s="1154" t="s">
        <v>698</v>
      </c>
      <c r="B23" s="1155"/>
      <c r="C23" s="1155"/>
      <c r="D23" s="1156"/>
      <c r="F23" s="928" t="s">
        <v>736</v>
      </c>
      <c r="G23" s="928">
        <v>5</v>
      </c>
      <c r="H23" s="928">
        <v>30</v>
      </c>
      <c r="I23" s="380"/>
    </row>
    <row r="24" spans="1:9" s="903" customFormat="1" ht="20.100000000000001" customHeight="1" x14ac:dyDescent="0.25">
      <c r="A24" s="916" t="s">
        <v>700</v>
      </c>
      <c r="B24" s="918">
        <v>1</v>
      </c>
      <c r="C24" s="917" t="s">
        <v>706</v>
      </c>
      <c r="D24" s="945"/>
      <c r="F24" s="928" t="s">
        <v>737</v>
      </c>
      <c r="G24" s="928">
        <v>6</v>
      </c>
      <c r="H24" s="928">
        <v>40</v>
      </c>
      <c r="I24" s="380"/>
    </row>
    <row r="25" spans="1:9" s="903" customFormat="1" ht="20.100000000000001" customHeight="1" x14ac:dyDescent="0.25">
      <c r="A25" s="916" t="s">
        <v>701</v>
      </c>
      <c r="B25" s="918">
        <v>3</v>
      </c>
      <c r="C25" s="917" t="s">
        <v>707</v>
      </c>
      <c r="D25" s="945"/>
      <c r="F25" s="928" t="s">
        <v>738</v>
      </c>
      <c r="G25" s="928">
        <v>7</v>
      </c>
      <c r="H25" s="928">
        <v>50</v>
      </c>
      <c r="I25" s="380"/>
    </row>
    <row r="26" spans="1:9" s="903" customFormat="1" ht="20.100000000000001" customHeight="1" x14ac:dyDescent="0.25">
      <c r="A26" s="916" t="s">
        <v>511</v>
      </c>
      <c r="B26" s="918">
        <v>3</v>
      </c>
      <c r="C26" s="917" t="s">
        <v>707</v>
      </c>
      <c r="D26" s="945"/>
      <c r="I26" s="380"/>
    </row>
    <row r="27" spans="1:9" s="903" customFormat="1" ht="20.100000000000001" customHeight="1" x14ac:dyDescent="0.25">
      <c r="A27" s="916" t="s">
        <v>702</v>
      </c>
      <c r="B27" s="918">
        <v>2</v>
      </c>
      <c r="C27" s="917" t="s">
        <v>707</v>
      </c>
      <c r="D27" s="945"/>
      <c r="F27" s="925" t="s">
        <v>739</v>
      </c>
      <c r="G27" s="927"/>
      <c r="H27" s="927"/>
    </row>
    <row r="28" spans="1:9" s="903" customFormat="1" ht="20.100000000000001" customHeight="1" x14ac:dyDescent="0.25">
      <c r="A28" s="919" t="s">
        <v>700</v>
      </c>
      <c r="B28" s="920" t="s">
        <v>703</v>
      </c>
      <c r="C28" s="921" t="s">
        <v>67</v>
      </c>
      <c r="D28" s="946"/>
      <c r="F28" s="938" t="s">
        <v>324</v>
      </c>
      <c r="G28" s="939" t="s">
        <v>740</v>
      </c>
      <c r="H28" s="939" t="s">
        <v>741</v>
      </c>
    </row>
    <row r="29" spans="1:9" s="903" customFormat="1" ht="20.100000000000001" customHeight="1" x14ac:dyDescent="0.25">
      <c r="A29" s="919" t="s">
        <v>511</v>
      </c>
      <c r="B29" s="920" t="s">
        <v>475</v>
      </c>
      <c r="C29" s="921" t="s">
        <v>67</v>
      </c>
      <c r="D29" s="946"/>
      <c r="F29" s="928" t="s">
        <v>746</v>
      </c>
      <c r="G29" s="928"/>
      <c r="H29" s="928"/>
    </row>
    <row r="30" spans="1:9" s="903" customFormat="1" ht="20.100000000000001" customHeight="1" x14ac:dyDescent="0.25">
      <c r="A30" s="919" t="s">
        <v>701</v>
      </c>
      <c r="B30" s="920"/>
      <c r="C30" s="921" t="s">
        <v>67</v>
      </c>
      <c r="D30" s="946"/>
      <c r="F30" s="928" t="s">
        <v>745</v>
      </c>
      <c r="G30" s="928"/>
      <c r="H30" s="928"/>
    </row>
    <row r="31" spans="1:9" s="903" customFormat="1" ht="20.100000000000001" customHeight="1" x14ac:dyDescent="0.25">
      <c r="A31" s="919" t="s">
        <v>702</v>
      </c>
      <c r="B31" s="920"/>
      <c r="C31" s="921" t="s">
        <v>67</v>
      </c>
      <c r="D31" s="946"/>
      <c r="F31" s="928" t="s">
        <v>744</v>
      </c>
      <c r="G31" s="928"/>
      <c r="H31" s="928"/>
    </row>
    <row r="32" spans="1:9" s="903" customFormat="1" ht="20.100000000000001" customHeight="1" thickBot="1" x14ac:dyDescent="0.3">
      <c r="A32" s="1157" t="s">
        <v>673</v>
      </c>
      <c r="B32" s="1158"/>
      <c r="C32" s="1158"/>
      <c r="D32" s="1159"/>
      <c r="F32" s="928" t="s">
        <v>747</v>
      </c>
      <c r="G32" s="928"/>
      <c r="H32" s="928"/>
    </row>
    <row r="33" spans="1:9" s="903" customFormat="1" ht="20.100000000000001" customHeight="1" x14ac:dyDescent="0.25">
      <c r="A33" s="1160"/>
      <c r="B33" s="1161"/>
      <c r="C33" s="1161"/>
      <c r="D33" s="1162"/>
      <c r="F33" s="928" t="s">
        <v>743</v>
      </c>
      <c r="G33" s="928"/>
      <c r="H33" s="928"/>
    </row>
    <row r="34" spans="1:9" s="903" customFormat="1" ht="20.100000000000001" customHeight="1" x14ac:dyDescent="0.25">
      <c r="A34" s="1163"/>
      <c r="B34" s="1164"/>
      <c r="C34" s="1164"/>
      <c r="D34" s="1165"/>
      <c r="F34" s="928" t="s">
        <v>748</v>
      </c>
      <c r="G34" s="928"/>
      <c r="H34" s="928"/>
    </row>
    <row r="35" spans="1:9" s="903" customFormat="1" ht="20.100000000000001" customHeight="1" x14ac:dyDescent="0.25">
      <c r="A35" s="1163"/>
      <c r="B35" s="1164"/>
      <c r="C35" s="1164"/>
      <c r="D35" s="1165"/>
      <c r="F35" s="928" t="s">
        <v>742</v>
      </c>
      <c r="G35" s="928"/>
      <c r="H35" s="928"/>
    </row>
    <row r="36" spans="1:9" s="903" customFormat="1" ht="20.100000000000001" customHeight="1" x14ac:dyDescent="0.25">
      <c r="A36" s="1163"/>
      <c r="B36" s="1164"/>
      <c r="C36" s="1164"/>
      <c r="D36" s="1165"/>
    </row>
    <row r="37" spans="1:9" s="903" customFormat="1" ht="20.100000000000001" customHeight="1" x14ac:dyDescent="0.25">
      <c r="A37" s="1163"/>
      <c r="B37" s="1164"/>
      <c r="C37" s="1164"/>
      <c r="D37" s="1165"/>
    </row>
    <row r="38" spans="1:9" s="903" customFormat="1" ht="20.100000000000001" customHeight="1" x14ac:dyDescent="0.25">
      <c r="A38" s="1163"/>
      <c r="B38" s="1164"/>
      <c r="C38" s="1164"/>
      <c r="D38" s="1165"/>
    </row>
    <row r="39" spans="1:9" s="903" customFormat="1" ht="20.100000000000001" customHeight="1" x14ac:dyDescent="0.25">
      <c r="A39" s="1163"/>
      <c r="B39" s="1164"/>
      <c r="C39" s="1164"/>
      <c r="D39" s="1165"/>
    </row>
    <row r="40" spans="1:9" s="903" customFormat="1" ht="20.100000000000001" customHeight="1" x14ac:dyDescent="0.25">
      <c r="A40" s="1163"/>
      <c r="B40" s="1164"/>
      <c r="C40" s="1164"/>
      <c r="D40" s="1165"/>
    </row>
    <row r="41" spans="1:9" s="903" customFormat="1" ht="20.100000000000001" customHeight="1" x14ac:dyDescent="0.25">
      <c r="A41" s="1163"/>
      <c r="B41" s="1164"/>
      <c r="C41" s="1164"/>
      <c r="D41" s="1165"/>
    </row>
    <row r="42" spans="1:9" s="903" customFormat="1" ht="20.100000000000001" customHeight="1" x14ac:dyDescent="0.25">
      <c r="A42" s="1163"/>
      <c r="B42" s="1164"/>
      <c r="C42" s="1164"/>
      <c r="D42" s="1165"/>
      <c r="F42" s="380"/>
      <c r="G42" s="380"/>
      <c r="H42" s="380"/>
      <c r="I42" s="380"/>
    </row>
    <row r="43" spans="1:9" s="903" customFormat="1" ht="20.100000000000001" customHeight="1" x14ac:dyDescent="0.25">
      <c r="A43" s="1163"/>
      <c r="B43" s="1164"/>
      <c r="C43" s="1164"/>
      <c r="D43" s="1165"/>
      <c r="F43" s="380"/>
      <c r="G43" s="380"/>
      <c r="H43" s="380"/>
      <c r="I43" s="380"/>
    </row>
    <row r="44" spans="1:9" s="903" customFormat="1" ht="20.100000000000001" customHeight="1" x14ac:dyDescent="0.25">
      <c r="A44" s="1163"/>
      <c r="B44" s="1164"/>
      <c r="C44" s="1164"/>
      <c r="D44" s="1165"/>
      <c r="F44" s="380"/>
      <c r="G44" s="380"/>
      <c r="H44" s="380"/>
      <c r="I44" s="380"/>
    </row>
    <row r="45" spans="1:9" s="903" customFormat="1" ht="20.100000000000001" customHeight="1" x14ac:dyDescent="0.25">
      <c r="A45" s="1163"/>
      <c r="B45" s="1164"/>
      <c r="C45" s="1164"/>
      <c r="D45" s="1165"/>
      <c r="F45" s="380"/>
      <c r="G45" s="380"/>
      <c r="H45" s="380"/>
      <c r="I45" s="380"/>
    </row>
    <row r="46" spans="1:9" s="903" customFormat="1" ht="20.100000000000001" customHeight="1" x14ac:dyDescent="0.25">
      <c r="A46" s="1163"/>
      <c r="B46" s="1164"/>
      <c r="C46" s="1164"/>
      <c r="D46" s="1165"/>
      <c r="F46" s="380"/>
      <c r="G46" s="380"/>
      <c r="H46" s="380"/>
      <c r="I46" s="380"/>
    </row>
    <row r="47" spans="1:9" s="903" customFormat="1" ht="20.100000000000001" customHeight="1" thickBot="1" x14ac:dyDescent="0.3">
      <c r="A47" s="1166"/>
      <c r="B47" s="1167"/>
      <c r="C47" s="1167"/>
      <c r="D47" s="1168"/>
      <c r="F47" s="380"/>
      <c r="G47" s="380"/>
      <c r="H47" s="380"/>
      <c r="I47" s="380"/>
    </row>
  </sheetData>
  <sortState xmlns:xlrd2="http://schemas.microsoft.com/office/spreadsheetml/2017/richdata2" ref="F29:F35">
    <sortCondition ref="F29:F35"/>
  </sortState>
  <mergeCells count="11">
    <mergeCell ref="A4:D4"/>
    <mergeCell ref="A1:D1"/>
    <mergeCell ref="A2:A3"/>
    <mergeCell ref="B2:B3"/>
    <mergeCell ref="C2:C3"/>
    <mergeCell ref="D2:D3"/>
    <mergeCell ref="A18:D18"/>
    <mergeCell ref="A20:D20"/>
    <mergeCell ref="A23:D23"/>
    <mergeCell ref="A32:D32"/>
    <mergeCell ref="A33:D47"/>
  </mergeCells>
  <pageMargins left="0.25" right="0.25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 codeName="Sheet6">
    <pageSetUpPr fitToPage="1"/>
  </sheetPr>
  <dimension ref="B1:AN112"/>
  <sheetViews>
    <sheetView showGridLines="0" zoomScale="70" zoomScaleNormal="70" workbookViewId="0"/>
  </sheetViews>
  <sheetFormatPr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950" t="s">
        <v>760</v>
      </c>
      <c r="AG2" s="948"/>
      <c r="AH2" s="948"/>
      <c r="AI2" s="948"/>
      <c r="AJ2" s="380"/>
      <c r="AK2" s="951" t="s">
        <v>761</v>
      </c>
      <c r="AL2" s="949"/>
      <c r="AM2" s="949"/>
      <c r="AN2" s="949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762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0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0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0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579">
        <v>3.7783492074893514</v>
      </c>
      <c r="AJ35" s="579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0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579">
        <v>3.997305533800589</v>
      </c>
      <c r="AM36" s="579">
        <v>4.0081157494500879</v>
      </c>
      <c r="AN36" s="580">
        <v>3.9359409374909822</v>
      </c>
    </row>
    <row r="37" spans="11:40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0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0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0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0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0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</row>
    <row r="43" spans="11:40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</row>
    <row r="44" spans="11:40" ht="15" x14ac:dyDescent="0.25">
      <c r="AF44" s="578">
        <v>50</v>
      </c>
      <c r="AG44" s="579">
        <v>0.37598430805607191</v>
      </c>
      <c r="AH44" s="579">
        <v>0.39408325106267422</v>
      </c>
      <c r="AI44" s="579">
        <v>0.41139965036873311</v>
      </c>
      <c r="AJ44" s="579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</row>
    <row r="45" spans="11:40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579">
        <v>0.41695395945737523</v>
      </c>
      <c r="AM45" s="579">
        <v>0.43887009919797104</v>
      </c>
      <c r="AN45" s="580">
        <v>0.46538907505598481</v>
      </c>
    </row>
    <row r="46" spans="11:40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</row>
    <row r="47" spans="11:40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</row>
    <row r="48" spans="11:40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 codeName="Sheet7">
    <pageSetUpPr fitToPage="1"/>
  </sheetPr>
  <dimension ref="B2:S49"/>
  <sheetViews>
    <sheetView showGridLines="0" zoomScaleNormal="100" workbookViewId="0">
      <selection activeCell="N37" sqref="N37"/>
    </sheetView>
  </sheetViews>
  <sheetFormatPr defaultColWidth="9.140625" defaultRowHeight="15" x14ac:dyDescent="0.25"/>
  <cols>
    <col min="1" max="1" width="3.7109375" customWidth="1"/>
  </cols>
  <sheetData>
    <row r="2" spans="2:19" s="380" customFormat="1" ht="15.75" thickBot="1" x14ac:dyDescent="0.3">
      <c r="B2" s="952" t="s">
        <v>764</v>
      </c>
      <c r="C2" s="952"/>
      <c r="D2" s="952"/>
      <c r="E2" s="952"/>
      <c r="F2" s="952"/>
      <c r="G2" s="952"/>
      <c r="H2" s="952"/>
      <c r="I2" s="952"/>
      <c r="K2" s="952" t="s">
        <v>763</v>
      </c>
      <c r="L2" s="952"/>
      <c r="M2" s="952"/>
      <c r="N2" s="952"/>
      <c r="O2" s="952"/>
      <c r="P2" s="952"/>
      <c r="Q2" s="952"/>
      <c r="R2" s="952"/>
      <c r="S2" s="952"/>
    </row>
    <row r="3" spans="2:19" s="380" customFormat="1" ht="15.75" thickTop="1" x14ac:dyDescent="0.25"/>
    <row r="4" spans="2:19" ht="21" x14ac:dyDescent="0.25">
      <c r="B4" s="950" t="s">
        <v>760</v>
      </c>
      <c r="C4" s="948"/>
      <c r="D4" s="948"/>
      <c r="E4" s="948"/>
      <c r="F4" s="380"/>
      <c r="G4" s="951" t="s">
        <v>761</v>
      </c>
      <c r="H4" s="949"/>
      <c r="I4" s="949"/>
      <c r="J4" s="380"/>
      <c r="K4" s="950" t="s">
        <v>760</v>
      </c>
      <c r="L4" s="948"/>
      <c r="M4" s="948"/>
      <c r="N4" s="948"/>
      <c r="O4" s="380"/>
      <c r="P4" s="951" t="s">
        <v>761</v>
      </c>
      <c r="Q4" s="949"/>
      <c r="R4" s="949"/>
      <c r="S4" s="949"/>
    </row>
    <row r="5" spans="2:19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</row>
    <row r="6" spans="2:19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</row>
    <row r="7" spans="2:19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</row>
    <row r="8" spans="2:19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</row>
    <row r="9" spans="2:19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</row>
    <row r="10" spans="2:19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</row>
    <row r="11" spans="2:19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</row>
    <row r="12" spans="2:19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</row>
    <row r="13" spans="2:19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</row>
    <row r="14" spans="2:19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</row>
    <row r="16" spans="2:19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1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1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1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1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1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1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19" ht="15.7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</row>
    <row r="24" spans="2:1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</row>
    <row r="25" spans="2:1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</row>
    <row r="26" spans="2:1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</row>
    <row r="27" spans="2:1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</row>
    <row r="28" spans="2:1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</row>
    <row r="29" spans="2:1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</row>
    <row r="30" spans="2:1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</row>
    <row r="31" spans="2:1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</row>
    <row r="32" spans="2:1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2:1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762</v>
      </c>
      <c r="L33" s="571" t="s">
        <v>58</v>
      </c>
      <c r="M33" s="572"/>
      <c r="N33" s="573"/>
      <c r="O33" s="573"/>
      <c r="P33" s="573"/>
      <c r="Q33" s="573"/>
      <c r="R33" s="573"/>
      <c r="S33" s="574"/>
    </row>
    <row r="34" spans="2:19" x14ac:dyDescent="0.25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</row>
    <row r="35" spans="2:1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1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1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1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1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1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1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1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1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1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1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953">
        <v>0.42853853182968604</v>
      </c>
      <c r="M45" s="954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1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953">
        <v>0.42599626919418815</v>
      </c>
      <c r="P46" s="954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1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1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conditionalFormatting sqref="C44:I4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5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2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1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7">
      <colorScale>
        <cfvo type="min"/>
        <cfvo type="max"/>
        <color theme="0"/>
        <color rgb="FFFF5050"/>
      </colorScale>
    </cfRule>
  </conditionalFormatting>
  <conditionalFormatting sqref="L26:S31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sheetPr codeName="Sheet8"/>
  <dimension ref="B2:AL42"/>
  <sheetViews>
    <sheetView showGridLines="0" zoomScale="85" zoomScaleNormal="85" workbookViewId="0">
      <selection activeCell="B2" sqref="B2:G3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1190" t="s">
        <v>13</v>
      </c>
      <c r="C2" s="1190"/>
      <c r="D2" s="1190"/>
      <c r="E2" s="1190"/>
      <c r="F2" s="1190"/>
      <c r="G2" s="1190"/>
      <c r="K2" s="1190" t="s">
        <v>17</v>
      </c>
      <c r="L2" s="1190"/>
      <c r="M2" s="1190"/>
      <c r="N2" s="1190"/>
      <c r="O2" s="1190"/>
      <c r="P2" s="1190"/>
      <c r="T2" s="1183" t="s">
        <v>88</v>
      </c>
      <c r="U2" s="1183"/>
      <c r="V2" s="1183"/>
      <c r="W2" s="1183"/>
      <c r="X2" s="1183"/>
      <c r="Y2" s="1183"/>
      <c r="Z2" s="1183"/>
      <c r="AA2" s="1183"/>
      <c r="AB2" s="1183"/>
    </row>
    <row r="3" spans="2:38" x14ac:dyDescent="0.2">
      <c r="B3" s="1190"/>
      <c r="C3" s="1190"/>
      <c r="D3" s="1190"/>
      <c r="E3" s="1190"/>
      <c r="F3" s="1190"/>
      <c r="G3" s="1190"/>
      <c r="K3" s="1190"/>
      <c r="L3" s="1190"/>
      <c r="M3" s="1190"/>
      <c r="N3" s="1190"/>
      <c r="O3" s="1190"/>
      <c r="P3" s="1190"/>
      <c r="T3" s="1183"/>
      <c r="U3" s="1183"/>
      <c r="V3" s="1183"/>
      <c r="W3" s="1183"/>
      <c r="X3" s="1183"/>
      <c r="Y3" s="1183"/>
      <c r="Z3" s="1183"/>
      <c r="AA3" s="1183"/>
      <c r="AB3" s="1183"/>
    </row>
    <row r="4" spans="2:38" ht="13.5" thickBot="1" x14ac:dyDescent="0.25"/>
    <row r="5" spans="2:38" x14ac:dyDescent="0.2">
      <c r="B5" s="1186" t="s">
        <v>63</v>
      </c>
      <c r="C5" s="1187"/>
      <c r="D5" s="533" t="s">
        <v>428</v>
      </c>
      <c r="J5" s="195"/>
      <c r="K5" s="1186" t="s">
        <v>64</v>
      </c>
      <c r="L5" s="1187"/>
      <c r="AC5" s="1184" t="s">
        <v>92</v>
      </c>
      <c r="AD5" s="1185"/>
    </row>
    <row r="6" spans="2:38" ht="13.5" thickBot="1" x14ac:dyDescent="0.25">
      <c r="B6" s="1191"/>
      <c r="C6" s="1192"/>
      <c r="J6" s="195"/>
      <c r="K6" s="1191"/>
      <c r="L6" s="1192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1186" t="s">
        <v>82</v>
      </c>
      <c r="C18" s="1187"/>
      <c r="K18" s="1186" t="s">
        <v>83</v>
      </c>
      <c r="L18" s="1187"/>
      <c r="T18" s="1" t="s">
        <v>132</v>
      </c>
    </row>
    <row r="19" spans="2:20" ht="13.5" thickBot="1" x14ac:dyDescent="0.25">
      <c r="B19" s="1191"/>
      <c r="C19" s="1192"/>
      <c r="K19" s="1188"/>
      <c r="L19" s="1189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522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1186" t="s">
        <v>85</v>
      </c>
      <c r="C31" s="1187"/>
      <c r="K31" s="1186" t="s">
        <v>86</v>
      </c>
      <c r="L31" s="1187"/>
    </row>
    <row r="32" spans="2:20" ht="13.5" thickBot="1" x14ac:dyDescent="0.25">
      <c r="B32" s="1191"/>
      <c r="C32" s="1192"/>
      <c r="K32" s="1188"/>
      <c r="L32" s="1189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DA1D-821E-4108-BBD1-BFEE27DA6909}">
  <dimension ref="A1:AN65"/>
  <sheetViews>
    <sheetView showGridLines="0" topLeftCell="P31" zoomScale="85" zoomScaleNormal="85" workbookViewId="0">
      <selection activeCell="AH53" sqref="AH53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4.14062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101"/>
      <c r="L2" s="1102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3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3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3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3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3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4" t="s">
        <v>384</v>
      </c>
      <c r="D8" s="1194"/>
      <c r="E8" s="1194"/>
      <c r="F8" s="1194"/>
      <c r="G8" s="1194"/>
      <c r="H8" s="1195"/>
      <c r="J8" s="262" t="s">
        <v>385</v>
      </c>
      <c r="K8" s="252">
        <v>0.45</v>
      </c>
      <c r="L8" s="87" t="s">
        <v>184</v>
      </c>
      <c r="M8" s="381"/>
      <c r="AC8" s="1193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3"/>
      <c r="AD9" s="467" t="s">
        <v>407</v>
      </c>
      <c r="AE9" s="1196" t="s">
        <v>408</v>
      </c>
      <c r="AF9" s="1196"/>
      <c r="AG9" s="1103" t="s">
        <v>409</v>
      </c>
      <c r="AH9" s="1103" t="s">
        <v>410</v>
      </c>
      <c r="AI9" s="1103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0.25893325934107547</v>
      </c>
      <c r="D10" s="145">
        <f>$K$3*$K$9*9.81/($K$16+$K$17+($B10*$K$24/($B10+$K$24))+(D$2*$K$22/(D$2+$K$22)))</f>
        <v>0.27976750189690885</v>
      </c>
      <c r="E10" s="145">
        <f>$K$3*$K$9*9.81/($K$16+$K$17+($B10*$K$24/($B10+$K$24))+(E$2*$K$22/(E$2+$K$22)))</f>
        <v>0.2884897416269056</v>
      </c>
      <c r="F10" s="145">
        <f>$K$3*$K$9*9.81/($K$16+$K$17+($B10*$K$24/($B10+$K$24))+(F$2*$K$22/(F$2+$K$22)))</f>
        <v>0.29773471167030557</v>
      </c>
      <c r="G10" s="145"/>
      <c r="H10" s="146"/>
      <c r="J10" s="99"/>
      <c r="L10" s="87"/>
      <c r="M10" s="381"/>
      <c r="AC10" s="1193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3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0.26388812698727482</v>
      </c>
      <c r="D12" s="145">
        <f t="shared" si="0"/>
        <v>0.28556072304426705</v>
      </c>
      <c r="E12" s="999">
        <f t="shared" si="0"/>
        <v>0.29465380069209796</v>
      </c>
      <c r="F12" s="145">
        <f t="shared" si="0"/>
        <v>0.30430466755597546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3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0.26651039619327765</v>
      </c>
      <c r="D13" s="145">
        <f t="shared" si="0"/>
        <v>0.28863391081409945</v>
      </c>
      <c r="E13" s="558">
        <f t="shared" si="0"/>
        <v>0.29792694459591562</v>
      </c>
      <c r="F13" s="145">
        <f t="shared" si="0"/>
        <v>0.30779700558957968</v>
      </c>
      <c r="G13" s="145"/>
      <c r="H13" s="146"/>
      <c r="J13" s="99"/>
      <c r="L13" s="87"/>
      <c r="M13" s="381"/>
      <c r="AC13" s="1193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0.27087276756690248</v>
      </c>
      <c r="D14" s="145">
        <f t="shared" si="0"/>
        <v>0.29375756185821811</v>
      </c>
      <c r="E14" s="145">
        <f t="shared" si="0"/>
        <v>0.30338895705642099</v>
      </c>
      <c r="F14" s="145">
        <f t="shared" si="0"/>
        <v>0.31363045934614814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3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151</v>
      </c>
      <c r="L15" s="87" t="s">
        <v>69</v>
      </c>
      <c r="M15" s="381">
        <v>950</v>
      </c>
      <c r="AC15" s="1193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0.27454435925117426</v>
      </c>
      <c r="D16" s="145">
        <f t="shared" si="1"/>
        <v>0.29808070309586598</v>
      </c>
      <c r="E16" s="145">
        <f t="shared" si="1"/>
        <v>0.30800245632785533</v>
      </c>
      <c r="F16" s="145">
        <f t="shared" si="1"/>
        <v>0.31856322381529401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3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0.27823720235487115</v>
      </c>
      <c r="D17" s="145">
        <f t="shared" si="1"/>
        <v>0.30243887757126359</v>
      </c>
      <c r="E17" s="145">
        <f t="shared" si="1"/>
        <v>0.31265785259503337</v>
      </c>
      <c r="F17" s="145">
        <f t="shared" si="1"/>
        <v>0.32354592339468674</v>
      </c>
      <c r="G17" s="145"/>
      <c r="H17" s="146"/>
      <c r="J17" s="262" t="s">
        <v>393</v>
      </c>
      <c r="K17" s="278">
        <f>(K15*K23/(K15+K23)*1000)*((2*$K$12)^2/2)*(6.28/360)</f>
        <v>3413.9391900507389</v>
      </c>
      <c r="L17" s="87" t="s">
        <v>392</v>
      </c>
      <c r="M17" s="381"/>
      <c r="AC17" s="1193"/>
      <c r="AD17" s="495" t="s">
        <v>419</v>
      </c>
      <c r="AE17" s="1197" t="s">
        <v>420</v>
      </c>
      <c r="AF17" s="1198"/>
      <c r="AG17" s="1198"/>
      <c r="AH17" s="1199"/>
      <c r="AI17" s="1198" t="s">
        <v>421</v>
      </c>
      <c r="AJ17" s="1198"/>
      <c r="AK17" s="1198"/>
      <c r="AL17" s="1200"/>
    </row>
    <row r="18" spans="2:40" ht="15.75" thickBot="1" x14ac:dyDescent="0.3">
      <c r="B18" s="444">
        <v>1009.0731614400001</v>
      </c>
      <c r="C18" s="145">
        <f t="shared" si="1"/>
        <v>0.28129633385984976</v>
      </c>
      <c r="D18" s="145">
        <f t="shared" si="1"/>
        <v>0.30605679390102425</v>
      </c>
      <c r="E18" s="145">
        <f t="shared" si="1"/>
        <v>0.31652595123199972</v>
      </c>
      <c r="F18" s="145">
        <f t="shared" si="1"/>
        <v>0.32768990550700211</v>
      </c>
      <c r="G18" s="145"/>
      <c r="H18" s="146"/>
      <c r="J18" s="100"/>
      <c r="K18" s="88"/>
      <c r="L18" s="142"/>
      <c r="M18" s="381"/>
      <c r="AC18" s="1193"/>
      <c r="AD18" s="496">
        <v>1</v>
      </c>
      <c r="AE18" s="1201">
        <v>40.9</v>
      </c>
      <c r="AF18" s="1202"/>
      <c r="AG18" s="1202"/>
      <c r="AH18" s="1203"/>
      <c r="AI18" s="1202">
        <v>30.6</v>
      </c>
      <c r="AJ18" s="1202"/>
      <c r="AK18" s="1202"/>
      <c r="AL18" s="120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3"/>
      <c r="AD19" s="496">
        <v>2</v>
      </c>
      <c r="AE19" s="1201">
        <v>30.6</v>
      </c>
      <c r="AF19" s="1202"/>
      <c r="AG19" s="1202"/>
      <c r="AH19" s="1203"/>
      <c r="AI19" s="1205">
        <v>23</v>
      </c>
      <c r="AJ19" s="1205"/>
      <c r="AK19" s="1205"/>
      <c r="AL19" s="1206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0.28601327441660562</v>
      </c>
      <c r="D20" s="145">
        <f t="shared" si="2"/>
        <v>0.31164893096113011</v>
      </c>
      <c r="E20" s="145">
        <f t="shared" si="2"/>
        <v>0.32251094807650627</v>
      </c>
      <c r="F20" s="145">
        <f t="shared" si="2"/>
        <v>0.33410881328581937</v>
      </c>
      <c r="G20" s="145"/>
      <c r="H20" s="146"/>
      <c r="J20" s="86" t="s">
        <v>394</v>
      </c>
      <c r="K20" s="69"/>
      <c r="L20" s="70"/>
      <c r="M20" s="381"/>
      <c r="AC20" s="1193"/>
      <c r="AD20" s="513">
        <v>3</v>
      </c>
      <c r="AE20" s="1207">
        <v>23</v>
      </c>
      <c r="AF20" s="1208"/>
      <c r="AG20" s="1208"/>
      <c r="AH20" s="1209"/>
      <c r="AI20" s="1208">
        <v>17.2</v>
      </c>
      <c r="AJ20" s="1208"/>
      <c r="AK20" s="1208"/>
      <c r="AL20" s="1210"/>
    </row>
    <row r="21" spans="2:40" ht="15.75" thickBot="1" x14ac:dyDescent="0.3">
      <c r="B21" s="438">
        <v>760</v>
      </c>
      <c r="C21" s="145">
        <f t="shared" si="2"/>
        <v>0.28833893400991101</v>
      </c>
      <c r="D21" s="558">
        <f t="shared" si="2"/>
        <v>0.31441219055597558</v>
      </c>
      <c r="E21" s="558">
        <f t="shared" si="2"/>
        <v>0.32547109698448407</v>
      </c>
      <c r="F21" s="145">
        <f t="shared" si="2"/>
        <v>0.33728673993101382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3"/>
      <c r="AD21" s="497">
        <v>4</v>
      </c>
      <c r="AE21" s="1211">
        <v>17.2</v>
      </c>
      <c r="AF21" s="1212"/>
      <c r="AG21" s="1212"/>
      <c r="AH21" s="1213"/>
      <c r="AI21" s="1212">
        <v>12.9</v>
      </c>
      <c r="AJ21" s="1212"/>
      <c r="AK21" s="1212"/>
      <c r="AL21" s="1214"/>
    </row>
    <row r="22" spans="2:40" x14ac:dyDescent="0.25">
      <c r="B22" s="438">
        <v>672.71544096000025</v>
      </c>
      <c r="C22" s="145">
        <f t="shared" si="2"/>
        <v>0.29089110576249011</v>
      </c>
      <c r="D22" s="558">
        <f t="shared" si="2"/>
        <v>0.31744922568232659</v>
      </c>
      <c r="E22" s="558">
        <f t="shared" si="2"/>
        <v>0.32872664043062355</v>
      </c>
      <c r="F22" s="145">
        <f t="shared" si="2"/>
        <v>0.34078421725405933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0.31218802784074334</v>
      </c>
      <c r="D23" s="450">
        <f t="shared" si="2"/>
        <v>0.34298312745428916</v>
      </c>
      <c r="E23" s="450">
        <f t="shared" si="2"/>
        <v>0.35618541752861865</v>
      </c>
      <c r="F23" s="450">
        <f t="shared" si="2"/>
        <v>0.37038498688177762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4" t="s">
        <v>395</v>
      </c>
      <c r="D25" s="1194"/>
      <c r="E25" s="1194"/>
      <c r="F25" s="1194"/>
      <c r="G25" s="1194"/>
      <c r="H25" s="1195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559">
        <f>((C$2*$K$22/(C$2+$K$22))+$K$16)/((C$2*$K$22/(C$2+$K$22))+($B27*$K$24/($B27+$K$24))+$K$16+$K$17)</f>
        <v>0.52125009687264812</v>
      </c>
      <c r="D27" s="559">
        <f>((D$2*$K$22/(D$2+$K$22))+$K$16)/((D$2*$K$22/(D$2+$K$22))+($B27*$K$24/($B27+$K$24))+$K$16+$K$17)</f>
        <v>0.48272900602970475</v>
      </c>
      <c r="E27" s="559">
        <f>((E$2*$K$22/(E$2+$K$22))+$K$16)/((E$2*$K$22/(E$2+$K$22))+($B27*$K$24/($B27+$K$24))+$K$16+$K$17)</f>
        <v>0.46660218077590832</v>
      </c>
      <c r="F27" s="559">
        <f>((F$2*$K$22/(F$2+$K$22))+$K$16)/((F$2*$K$22/(F$2+$K$22))+($B27*$K$24/($B27+$K$24))+$K$16+$K$17)</f>
        <v>0.44950886289176994</v>
      </c>
      <c r="G27" s="455"/>
      <c r="H27" s="456"/>
      <c r="J27" s="1215" t="s">
        <v>396</v>
      </c>
      <c r="R27" s="453"/>
      <c r="S27" s="454"/>
    </row>
    <row r="28" spans="2:40" x14ac:dyDescent="0.25">
      <c r="B28" s="438"/>
      <c r="C28" s="559"/>
      <c r="D28" s="559"/>
      <c r="E28" s="559"/>
      <c r="F28" s="559"/>
      <c r="G28" s="455"/>
      <c r="H28" s="456"/>
      <c r="J28" s="1215"/>
      <c r="R28" s="453"/>
      <c r="S28" s="454"/>
    </row>
    <row r="29" spans="2:40" x14ac:dyDescent="0.25">
      <c r="B29" s="438">
        <v>1681.7886024000004</v>
      </c>
      <c r="C29" s="559">
        <f t="shared" ref="C29:F31" si="3">((C$2*$K$22/(C$2+$K$22))+$K$16)/((C$2*$K$22/(C$2+$K$22))+($B29*$K$24/($B29+$K$24))+$K$16+$K$17)</f>
        <v>0.53122457928230449</v>
      </c>
      <c r="D29" s="559">
        <f t="shared" si="3"/>
        <v>0.49272500580527906</v>
      </c>
      <c r="E29" s="559">
        <f t="shared" si="3"/>
        <v>0.47657190582065501</v>
      </c>
      <c r="F29" s="559">
        <f t="shared" si="3"/>
        <v>0.45942793945106231</v>
      </c>
      <c r="G29" s="455"/>
      <c r="H29" s="456"/>
      <c r="R29" s="453"/>
      <c r="S29" s="454"/>
    </row>
    <row r="30" spans="2:40" x14ac:dyDescent="0.25">
      <c r="B30" s="438">
        <v>1574.8327483000005</v>
      </c>
      <c r="C30" s="559">
        <f t="shared" si="3"/>
        <v>0.53650338387130725</v>
      </c>
      <c r="D30" s="559">
        <f t="shared" si="3"/>
        <v>0.49802768344801868</v>
      </c>
      <c r="E30" s="559">
        <f t="shared" si="3"/>
        <v>0.48186587598022407</v>
      </c>
      <c r="F30" s="559">
        <f t="shared" si="3"/>
        <v>0.46470054233136548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559">
        <f t="shared" si="3"/>
        <v>0.54528513136439838</v>
      </c>
      <c r="D31" s="559">
        <f t="shared" si="3"/>
        <v>0.50686836350914255</v>
      </c>
      <c r="E31" s="559">
        <f t="shared" si="3"/>
        <v>0.49070011358993776</v>
      </c>
      <c r="F31" s="559">
        <f t="shared" si="3"/>
        <v>0.47350767519852849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559"/>
      <c r="D32" s="559"/>
      <c r="E32" s="559"/>
      <c r="F32" s="559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559">
        <f t="shared" ref="C33:F35" si="4">((C$2*$K$22/(C$2+$K$22))+$K$16)/((C$2*$K$22/(C$2+$K$22))+($B33*$K$24/($B33+$K$24))+$K$16+$K$17)</f>
        <v>0.55267629280103159</v>
      </c>
      <c r="D33" s="559">
        <f t="shared" si="4"/>
        <v>0.5143277919932443</v>
      </c>
      <c r="E33" s="559">
        <f t="shared" si="4"/>
        <v>0.49816196928338335</v>
      </c>
      <c r="F33" s="559">
        <f t="shared" si="4"/>
        <v>0.48095498067056891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559">
        <f t="shared" si="4"/>
        <v>0.56011023477679744</v>
      </c>
      <c r="D34" s="559">
        <f t="shared" si="4"/>
        <v>0.52184766909958513</v>
      </c>
      <c r="E34" s="998">
        <f t="shared" si="4"/>
        <v>0.50569158901402367</v>
      </c>
      <c r="F34" s="559">
        <f t="shared" si="4"/>
        <v>0.48847767632637251</v>
      </c>
      <c r="G34" s="455"/>
      <c r="H34" s="456"/>
      <c r="R34" s="453"/>
      <c r="S34" s="454"/>
    </row>
    <row r="35" spans="2:40" x14ac:dyDescent="0.25">
      <c r="B35" s="438">
        <v>1009.0731614400001</v>
      </c>
      <c r="C35" s="559">
        <f t="shared" si="4"/>
        <v>0.56626847260755775</v>
      </c>
      <c r="D35" s="559">
        <f t="shared" si="4"/>
        <v>0.52809025675512911</v>
      </c>
      <c r="E35" s="559">
        <f t="shared" si="4"/>
        <v>0.51194783663408283</v>
      </c>
      <c r="F35" s="559">
        <f t="shared" si="4"/>
        <v>0.49473410735082568</v>
      </c>
      <c r="G35" s="455"/>
      <c r="H35" s="456"/>
      <c r="R35" s="453"/>
      <c r="S35" s="454"/>
      <c r="AC35" s="1193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559"/>
      <c r="D36" s="559"/>
      <c r="E36" s="559"/>
      <c r="F36" s="559"/>
      <c r="G36" s="455"/>
      <c r="H36" s="456"/>
      <c r="AC36" s="1193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559">
        <f t="shared" ref="C37:F40" si="5">((C$2*$K$22/(C$2+$K$22))+$K$16)/((C$2*$K$22/(C$2+$K$22))+($B37*$K$24/($B37+$K$24))+$K$16+$K$17)</f>
        <v>0.57576399175565152</v>
      </c>
      <c r="D37" s="559">
        <f t="shared" si="5"/>
        <v>0.53773929299523349</v>
      </c>
      <c r="E37" s="559">
        <f t="shared" si="5"/>
        <v>0.5216279471428138</v>
      </c>
      <c r="F37" s="559">
        <f t="shared" si="5"/>
        <v>0.50442513706139025</v>
      </c>
      <c r="G37" s="455"/>
      <c r="H37" s="456"/>
      <c r="AC37" s="1193"/>
    </row>
    <row r="38" spans="2:40" ht="15.75" thickBot="1" x14ac:dyDescent="0.3">
      <c r="B38" s="438">
        <v>760</v>
      </c>
      <c r="C38" s="559">
        <f t="shared" si="5"/>
        <v>0.58044570121000327</v>
      </c>
      <c r="D38" s="559">
        <f t="shared" si="5"/>
        <v>0.54250720044902112</v>
      </c>
      <c r="E38" s="1096">
        <f t="shared" si="5"/>
        <v>0.52641568041920239</v>
      </c>
      <c r="F38" s="559">
        <f t="shared" si="5"/>
        <v>0.50922305324865913</v>
      </c>
      <c r="G38" s="455"/>
      <c r="H38" s="456"/>
      <c r="I38" s="1098">
        <f>B38+$K$17</f>
        <v>4173.9391900507389</v>
      </c>
      <c r="AC38" s="1193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559">
        <f t="shared" si="5"/>
        <v>0.58558339490239664</v>
      </c>
      <c r="D39" s="559">
        <f t="shared" si="5"/>
        <v>0.5477474979742174</v>
      </c>
      <c r="E39" s="559">
        <f t="shared" si="5"/>
        <v>0.53168118366730011</v>
      </c>
      <c r="F39" s="559">
        <f t="shared" si="5"/>
        <v>0.51450341523820387</v>
      </c>
      <c r="G39" s="455"/>
      <c r="H39" s="456"/>
      <c r="AC39" s="1193"/>
    </row>
    <row r="40" spans="2:40" ht="15.75" thickBot="1" x14ac:dyDescent="0.3">
      <c r="B40" s="449">
        <v>608</v>
      </c>
      <c r="C40" s="1097">
        <f t="shared" si="5"/>
        <v>0.58945174132420897</v>
      </c>
      <c r="D40" s="1097">
        <f t="shared" si="5"/>
        <v>0.5516986418925125</v>
      </c>
      <c r="E40" s="1097">
        <f t="shared" si="5"/>
        <v>0.53565369982424804</v>
      </c>
      <c r="F40" s="1097">
        <f t="shared" si="5"/>
        <v>0.51848968102807824</v>
      </c>
      <c r="G40" s="457"/>
      <c r="H40" s="458"/>
      <c r="AC40" s="1193"/>
      <c r="AD40" s="467" t="s">
        <v>423</v>
      </c>
      <c r="AE40" s="1196" t="s">
        <v>424</v>
      </c>
      <c r="AF40" s="1196"/>
      <c r="AG40" s="1103" t="s">
        <v>409</v>
      </c>
      <c r="AH40" s="1103" t="s">
        <v>410</v>
      </c>
      <c r="AI40" s="1103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3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3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3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3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3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3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3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3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3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3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3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3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3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3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3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3"/>
      <c r="AG56" s="453"/>
    </row>
    <row r="57" spans="29:40" x14ac:dyDescent="0.25">
      <c r="AC57" s="1193"/>
      <c r="AD57" s="425" t="s">
        <v>426</v>
      </c>
      <c r="AE57" s="492"/>
      <c r="AF57" s="492"/>
      <c r="AG57" s="493"/>
      <c r="AH57" s="494"/>
    </row>
    <row r="58" spans="29:40" x14ac:dyDescent="0.25">
      <c r="AC58" s="1193"/>
      <c r="AD58" s="495" t="s">
        <v>419</v>
      </c>
      <c r="AE58" s="1198" t="s">
        <v>427</v>
      </c>
      <c r="AF58" s="1198"/>
      <c r="AG58" s="1198"/>
      <c r="AH58" s="1200"/>
      <c r="AN58" s="515" t="s">
        <v>241</v>
      </c>
    </row>
    <row r="59" spans="29:40" x14ac:dyDescent="0.25">
      <c r="AC59" s="1193"/>
      <c r="AD59" s="495">
        <v>1</v>
      </c>
      <c r="AE59" s="1197">
        <v>47.4</v>
      </c>
      <c r="AF59" s="1198"/>
      <c r="AG59" s="1198"/>
      <c r="AH59" s="1200"/>
      <c r="AI59" s="380" t="s">
        <v>663</v>
      </c>
    </row>
    <row r="60" spans="29:40" x14ac:dyDescent="0.25">
      <c r="AC60" s="1193"/>
      <c r="AD60" s="513">
        <v>2</v>
      </c>
      <c r="AE60" s="1216">
        <v>42.7</v>
      </c>
      <c r="AF60" s="1217"/>
      <c r="AG60" s="1217"/>
      <c r="AH60" s="1218"/>
      <c r="AI60" s="380" t="s">
        <v>435</v>
      </c>
    </row>
    <row r="61" spans="29:40" x14ac:dyDescent="0.25">
      <c r="AC61" s="1193"/>
      <c r="AD61" s="496">
        <v>3</v>
      </c>
      <c r="AE61" s="1219">
        <v>38</v>
      </c>
      <c r="AF61" s="1205"/>
      <c r="AG61" s="1205"/>
      <c r="AH61" s="1206"/>
      <c r="AI61" s="380" t="s">
        <v>437</v>
      </c>
    </row>
    <row r="62" spans="29:40" x14ac:dyDescent="0.25">
      <c r="AC62" s="1193"/>
      <c r="AD62" s="496">
        <v>4</v>
      </c>
      <c r="AE62" s="1201">
        <v>22.8</v>
      </c>
      <c r="AF62" s="1202"/>
      <c r="AG62" s="1202"/>
      <c r="AH62" s="1204"/>
      <c r="AI62" s="380" t="s">
        <v>436</v>
      </c>
    </row>
    <row r="63" spans="29:40" ht="15.75" thickBot="1" x14ac:dyDescent="0.3">
      <c r="AC63" s="1193"/>
      <c r="AD63" s="514">
        <v>5</v>
      </c>
      <c r="AE63" s="1220">
        <v>20.6</v>
      </c>
      <c r="AF63" s="1221"/>
      <c r="AG63" s="1221"/>
      <c r="AH63" s="1222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3529-E2CD-44A3-9FAA-3AA318883439}">
  <sheetPr codeName="Sheet9"/>
  <dimension ref="A1:AN65"/>
  <sheetViews>
    <sheetView showGridLines="0" topLeftCell="A3" zoomScale="85" zoomScaleNormal="85" workbookViewId="0">
      <selection activeCell="K15" sqref="K15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4.14062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93"/>
      <c r="L2" s="10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3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3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3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3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3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4" t="s">
        <v>384</v>
      </c>
      <c r="D8" s="1194"/>
      <c r="E8" s="1194"/>
      <c r="F8" s="1194"/>
      <c r="G8" s="1194"/>
      <c r="H8" s="1195"/>
      <c r="J8" s="262" t="s">
        <v>385</v>
      </c>
      <c r="K8" s="252">
        <v>0.45</v>
      </c>
      <c r="L8" s="87" t="s">
        <v>184</v>
      </c>
      <c r="M8" s="381"/>
      <c r="AC8" s="1193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3"/>
      <c r="AD9" s="467" t="s">
        <v>407</v>
      </c>
      <c r="AE9" s="1196" t="s">
        <v>408</v>
      </c>
      <c r="AF9" s="1196"/>
      <c r="AG9" s="1095" t="s">
        <v>409</v>
      </c>
      <c r="AH9" s="1095" t="s">
        <v>410</v>
      </c>
      <c r="AI9" s="10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93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3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999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3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93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3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93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3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93"/>
      <c r="AD17" s="495" t="s">
        <v>419</v>
      </c>
      <c r="AE17" s="1197" t="s">
        <v>420</v>
      </c>
      <c r="AF17" s="1198"/>
      <c r="AG17" s="1198"/>
      <c r="AH17" s="1199"/>
      <c r="AI17" s="1198" t="s">
        <v>421</v>
      </c>
      <c r="AJ17" s="1198"/>
      <c r="AK17" s="1198"/>
      <c r="AL17" s="1200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93"/>
      <c r="AD18" s="496">
        <v>1</v>
      </c>
      <c r="AE18" s="1201">
        <v>40.9</v>
      </c>
      <c r="AF18" s="1202"/>
      <c r="AG18" s="1202"/>
      <c r="AH18" s="1203"/>
      <c r="AI18" s="1202">
        <v>30.6</v>
      </c>
      <c r="AJ18" s="1202"/>
      <c r="AK18" s="1202"/>
      <c r="AL18" s="120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3"/>
      <c r="AD19" s="496">
        <v>2</v>
      </c>
      <c r="AE19" s="1201">
        <v>30.6</v>
      </c>
      <c r="AF19" s="1202"/>
      <c r="AG19" s="1202"/>
      <c r="AH19" s="1203"/>
      <c r="AI19" s="1205">
        <v>23</v>
      </c>
      <c r="AJ19" s="1205"/>
      <c r="AK19" s="1205"/>
      <c r="AL19" s="1206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93"/>
      <c r="AD20" s="513">
        <v>3</v>
      </c>
      <c r="AE20" s="1207">
        <v>23</v>
      </c>
      <c r="AF20" s="1208"/>
      <c r="AG20" s="1208"/>
      <c r="AH20" s="1209"/>
      <c r="AI20" s="1208">
        <v>17.2</v>
      </c>
      <c r="AJ20" s="1208"/>
      <c r="AK20" s="1208"/>
      <c r="AL20" s="1210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3"/>
      <c r="AD21" s="497">
        <v>4</v>
      </c>
      <c r="AE21" s="1211">
        <v>17.2</v>
      </c>
      <c r="AF21" s="1212"/>
      <c r="AG21" s="1212"/>
      <c r="AH21" s="1213"/>
      <c r="AI21" s="1212">
        <v>12.9</v>
      </c>
      <c r="AJ21" s="1212"/>
      <c r="AK21" s="1212"/>
      <c r="AL21" s="1214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4" t="s">
        <v>395</v>
      </c>
      <c r="D25" s="1194"/>
      <c r="E25" s="1194"/>
      <c r="F25" s="1194"/>
      <c r="G25" s="1194"/>
      <c r="H25" s="1195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559">
        <f>((C$2*$K$22/(C$2+$K$22))+$K$16)/((C$2*$K$22/(C$2+$K$22))+($B27*$K$24/($B27+$K$24))+$K$16+$K$17)</f>
        <v>0.53998430960862509</v>
      </c>
      <c r="D27" s="559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559">
        <f>((F$2*$K$22/(F$2+$K$22))+$K$16)/((F$2*$K$22/(F$2+$K$22))+($B27*$K$24/($B27+$K$24))+$K$16+$K$17)</f>
        <v>0.4681861816387064</v>
      </c>
      <c r="G27" s="455"/>
      <c r="H27" s="456"/>
      <c r="J27" s="1215" t="s">
        <v>396</v>
      </c>
      <c r="R27" s="453"/>
      <c r="S27" s="454"/>
    </row>
    <row r="28" spans="2:40" x14ac:dyDescent="0.25">
      <c r="B28" s="438"/>
      <c r="C28" s="559"/>
      <c r="D28" s="559"/>
      <c r="E28" s="559"/>
      <c r="F28" s="559"/>
      <c r="G28" s="455"/>
      <c r="H28" s="456"/>
      <c r="J28" s="1215"/>
      <c r="R28" s="453"/>
      <c r="S28" s="454"/>
    </row>
    <row r="29" spans="2:40" x14ac:dyDescent="0.25">
      <c r="B29" s="438">
        <v>1681.7886024000004</v>
      </c>
      <c r="C29" s="559">
        <f t="shared" ref="C29:F31" si="3">((C$2*$K$22/(C$2+$K$22))+$K$16)/((C$2*$K$22/(C$2+$K$22))+($B29*$K$24/($B29+$K$24))+$K$16+$K$17)</f>
        <v>0.55069602792220984</v>
      </c>
      <c r="D29" s="559">
        <f t="shared" si="3"/>
        <v>0.51232755987518264</v>
      </c>
      <c r="E29" s="559">
        <f t="shared" si="3"/>
        <v>0.49616037949369102</v>
      </c>
      <c r="F29" s="559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559">
        <f t="shared" si="3"/>
        <v>0.55637096909121786</v>
      </c>
      <c r="D30" s="559">
        <f t="shared" si="3"/>
        <v>0.51806300912898651</v>
      </c>
      <c r="E30" s="559">
        <f t="shared" si="3"/>
        <v>0.50190110943027733</v>
      </c>
      <c r="F30" s="559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559">
        <f t="shared" si="3"/>
        <v>0.56582089196636642</v>
      </c>
      <c r="D31" s="559">
        <f t="shared" si="3"/>
        <v>0.52763614284573057</v>
      </c>
      <c r="E31" s="559">
        <f t="shared" si="3"/>
        <v>0.51149255840288199</v>
      </c>
      <c r="F31" s="559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559"/>
      <c r="D32" s="559"/>
      <c r="E32" s="559"/>
      <c r="F32" s="559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559">
        <f t="shared" ref="C33:F35" si="4">((C$2*$K$22/(C$2+$K$22))+$K$16)/((C$2*$K$22/(C$2+$K$22))+($B33*$K$24/($B33+$K$24))+$K$16+$K$17)</f>
        <v>0.5737833120921364</v>
      </c>
      <c r="D33" s="559">
        <f t="shared" si="4"/>
        <v>0.5357242371993598</v>
      </c>
      <c r="E33" s="559">
        <f t="shared" si="4"/>
        <v>0.51960540183717419</v>
      </c>
      <c r="F33" s="559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559">
        <f t="shared" si="4"/>
        <v>0.58180002762512295</v>
      </c>
      <c r="D34" s="559">
        <f t="shared" si="4"/>
        <v>0.54388775948976442</v>
      </c>
      <c r="E34" s="998">
        <f t="shared" si="4"/>
        <v>0.52780253274979638</v>
      </c>
      <c r="F34" s="559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559">
        <f t="shared" si="4"/>
        <v>0.58844727528709218</v>
      </c>
      <c r="D35" s="559">
        <f t="shared" si="4"/>
        <v>0.55067221810722211</v>
      </c>
      <c r="E35" s="559">
        <f t="shared" si="4"/>
        <v>0.53462152819222919</v>
      </c>
      <c r="F35" s="559">
        <f t="shared" si="4"/>
        <v>0.51745372671209122</v>
      </c>
      <c r="G35" s="455"/>
      <c r="H35" s="456"/>
      <c r="R35" s="453"/>
      <c r="S35" s="454"/>
      <c r="AC35" s="1193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559"/>
      <c r="D36" s="559"/>
      <c r="E36" s="559"/>
      <c r="F36" s="559"/>
      <c r="G36" s="455"/>
      <c r="H36" s="456"/>
      <c r="AC36" s="1193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559">
        <f t="shared" ref="C37:F40" si="5">((C$2*$K$22/(C$2+$K$22))+$K$16)/((C$2*$K$22/(C$2+$K$22))+($B37*$K$24/($B37+$K$24))+$K$16+$K$17)</f>
        <v>0.59870791375464172</v>
      </c>
      <c r="D37" s="559">
        <f t="shared" si="5"/>
        <v>0.56117231766049191</v>
      </c>
      <c r="E37" s="559">
        <f t="shared" si="5"/>
        <v>0.54518692038184025</v>
      </c>
      <c r="F37" s="559">
        <f t="shared" si="5"/>
        <v>0.52806481935833927</v>
      </c>
      <c r="G37" s="455"/>
      <c r="H37" s="456"/>
      <c r="AC37" s="1193"/>
    </row>
    <row r="38" spans="2:40" ht="15.75" thickBot="1" x14ac:dyDescent="0.3">
      <c r="B38" s="438">
        <v>760</v>
      </c>
      <c r="C38" s="559">
        <f t="shared" si="5"/>
        <v>0.60377182634625981</v>
      </c>
      <c r="D38" s="559">
        <f t="shared" si="5"/>
        <v>0.56636682765773416</v>
      </c>
      <c r="E38" s="1096">
        <f t="shared" si="5"/>
        <v>0.55041905814183001</v>
      </c>
      <c r="F38" s="559">
        <f t="shared" si="5"/>
        <v>0.53332532293149859</v>
      </c>
      <c r="G38" s="455"/>
      <c r="H38" s="456"/>
      <c r="I38" s="1098">
        <f>B38+$K$17</f>
        <v>3789.5884718129232</v>
      </c>
      <c r="AC38" s="1193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559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559">
        <f t="shared" si="5"/>
        <v>0.53912021294587875</v>
      </c>
      <c r="G39" s="455"/>
      <c r="H39" s="456"/>
      <c r="AC39" s="1193"/>
    </row>
    <row r="40" spans="2:40" ht="15.75" thickBot="1" x14ac:dyDescent="0.3">
      <c r="B40" s="449">
        <v>0</v>
      </c>
      <c r="C40" s="1097">
        <f t="shared" si="5"/>
        <v>0.65589113466375115</v>
      </c>
      <c r="D40" s="1097">
        <f t="shared" si="5"/>
        <v>0.62031222115244589</v>
      </c>
      <c r="E40" s="1097">
        <f t="shared" si="5"/>
        <v>0.60496461721951855</v>
      </c>
      <c r="F40" s="1097">
        <f t="shared" si="5"/>
        <v>0.58839391014880182</v>
      </c>
      <c r="G40" s="457"/>
      <c r="H40" s="458"/>
      <c r="AC40" s="1193"/>
      <c r="AD40" s="467" t="s">
        <v>423</v>
      </c>
      <c r="AE40" s="1196" t="s">
        <v>424</v>
      </c>
      <c r="AF40" s="1196"/>
      <c r="AG40" s="1095" t="s">
        <v>409</v>
      </c>
      <c r="AH40" s="1095" t="s">
        <v>410</v>
      </c>
      <c r="AI40" s="10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3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3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3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3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3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3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3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3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3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3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3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3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3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3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3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3"/>
      <c r="AG56" s="453"/>
    </row>
    <row r="57" spans="29:40" x14ac:dyDescent="0.25">
      <c r="AC57" s="1193"/>
      <c r="AD57" s="425" t="s">
        <v>426</v>
      </c>
      <c r="AE57" s="492"/>
      <c r="AF57" s="492"/>
      <c r="AG57" s="493"/>
      <c r="AH57" s="494"/>
    </row>
    <row r="58" spans="29:40" x14ac:dyDescent="0.25">
      <c r="AC58" s="1193"/>
      <c r="AD58" s="495" t="s">
        <v>419</v>
      </c>
      <c r="AE58" s="1198" t="s">
        <v>427</v>
      </c>
      <c r="AF58" s="1198"/>
      <c r="AG58" s="1198"/>
      <c r="AH58" s="1200"/>
      <c r="AN58" s="515" t="s">
        <v>241</v>
      </c>
    </row>
    <row r="59" spans="29:40" x14ac:dyDescent="0.25">
      <c r="AC59" s="1193"/>
      <c r="AD59" s="495">
        <v>1</v>
      </c>
      <c r="AE59" s="1197">
        <v>47.4</v>
      </c>
      <c r="AF59" s="1198"/>
      <c r="AG59" s="1198"/>
      <c r="AH59" s="1200"/>
      <c r="AI59" s="380" t="s">
        <v>663</v>
      </c>
    </row>
    <row r="60" spans="29:40" x14ac:dyDescent="0.25">
      <c r="AC60" s="1193"/>
      <c r="AD60" s="513">
        <v>2</v>
      </c>
      <c r="AE60" s="1216">
        <v>42.7</v>
      </c>
      <c r="AF60" s="1217"/>
      <c r="AG60" s="1217"/>
      <c r="AH60" s="1218"/>
      <c r="AI60" s="380" t="s">
        <v>435</v>
      </c>
    </row>
    <row r="61" spans="29:40" x14ac:dyDescent="0.25">
      <c r="AC61" s="1193"/>
      <c r="AD61" s="496">
        <v>3</v>
      </c>
      <c r="AE61" s="1219">
        <v>38</v>
      </c>
      <c r="AF61" s="1205"/>
      <c r="AG61" s="1205"/>
      <c r="AH61" s="1206"/>
      <c r="AI61" s="380" t="s">
        <v>437</v>
      </c>
    </row>
    <row r="62" spans="29:40" x14ac:dyDescent="0.25">
      <c r="AC62" s="1193"/>
      <c r="AD62" s="496">
        <v>4</v>
      </c>
      <c r="AE62" s="1201">
        <v>22.8</v>
      </c>
      <c r="AF62" s="1202"/>
      <c r="AG62" s="1202"/>
      <c r="AH62" s="1204"/>
      <c r="AI62" s="380" t="s">
        <v>436</v>
      </c>
    </row>
    <row r="63" spans="29:40" ht="15.75" thickBot="1" x14ac:dyDescent="0.3">
      <c r="AC63" s="1193"/>
      <c r="AD63" s="514">
        <v>5</v>
      </c>
      <c r="AE63" s="1220">
        <v>20.6</v>
      </c>
      <c r="AF63" s="1221"/>
      <c r="AG63" s="1221"/>
      <c r="AH63" s="1222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AB2C-C78F-4847-B303-B3560E801E01}">
  <sheetPr codeName="Sheet10"/>
  <dimension ref="A1:AN65"/>
  <sheetViews>
    <sheetView showGridLines="0" topLeftCell="M22" zoomScale="85" zoomScaleNormal="85" workbookViewId="0">
      <selection activeCell="E31" sqref="E31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9.140625" style="168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93"/>
      <c r="L2" s="10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3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3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3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3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3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4" t="s">
        <v>384</v>
      </c>
      <c r="D8" s="1194"/>
      <c r="E8" s="1194"/>
      <c r="F8" s="1194"/>
      <c r="G8" s="1194"/>
      <c r="H8" s="1195"/>
      <c r="J8" s="262" t="s">
        <v>385</v>
      </c>
      <c r="K8" s="252">
        <v>0.45</v>
      </c>
      <c r="L8" s="87" t="s">
        <v>184</v>
      </c>
      <c r="M8" s="381"/>
      <c r="AC8" s="1193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3"/>
      <c r="AD9" s="467" t="s">
        <v>407</v>
      </c>
      <c r="AE9" s="1196" t="s">
        <v>408</v>
      </c>
      <c r="AF9" s="1196"/>
      <c r="AG9" s="1095" t="s">
        <v>409</v>
      </c>
      <c r="AH9" s="1095" t="s">
        <v>410</v>
      </c>
      <c r="AI9" s="10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193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3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1001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3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193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3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93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3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93"/>
      <c r="AD17" s="495" t="s">
        <v>419</v>
      </c>
      <c r="AE17" s="1197" t="s">
        <v>420</v>
      </c>
      <c r="AF17" s="1198"/>
      <c r="AG17" s="1198"/>
      <c r="AH17" s="1199"/>
      <c r="AI17" s="1198" t="s">
        <v>421</v>
      </c>
      <c r="AJ17" s="1198"/>
      <c r="AK17" s="1198"/>
      <c r="AL17" s="1200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193"/>
      <c r="AD18" s="496">
        <v>1</v>
      </c>
      <c r="AE18" s="1201">
        <v>40.9</v>
      </c>
      <c r="AF18" s="1202"/>
      <c r="AG18" s="1202"/>
      <c r="AH18" s="1203"/>
      <c r="AI18" s="1202">
        <v>30.6</v>
      </c>
      <c r="AJ18" s="1202"/>
      <c r="AK18" s="1202"/>
      <c r="AL18" s="120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3"/>
      <c r="AD19" s="496">
        <v>2</v>
      </c>
      <c r="AE19" s="1201">
        <v>30.6</v>
      </c>
      <c r="AF19" s="1202"/>
      <c r="AG19" s="1202"/>
      <c r="AH19" s="1203"/>
      <c r="AI19" s="1205">
        <v>23</v>
      </c>
      <c r="AJ19" s="1205"/>
      <c r="AK19" s="1205"/>
      <c r="AL19" s="1206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193"/>
      <c r="AD20" s="513">
        <v>3</v>
      </c>
      <c r="AE20" s="1207">
        <v>23</v>
      </c>
      <c r="AF20" s="1208"/>
      <c r="AG20" s="1208"/>
      <c r="AH20" s="1209"/>
      <c r="AI20" s="1208">
        <v>17.2</v>
      </c>
      <c r="AJ20" s="1208"/>
      <c r="AK20" s="1208"/>
      <c r="AL20" s="1210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3"/>
      <c r="AD21" s="497">
        <v>4</v>
      </c>
      <c r="AE21" s="1211">
        <v>17.2</v>
      </c>
      <c r="AF21" s="1212"/>
      <c r="AG21" s="1212"/>
      <c r="AH21" s="1213"/>
      <c r="AI21" s="1212">
        <v>12.9</v>
      </c>
      <c r="AJ21" s="1212"/>
      <c r="AK21" s="1212"/>
      <c r="AL21" s="1214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4" t="s">
        <v>395</v>
      </c>
      <c r="D25" s="1194"/>
      <c r="E25" s="1194"/>
      <c r="F25" s="1194"/>
      <c r="G25" s="1194"/>
      <c r="H25" s="1195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215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15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096">
        <f t="shared" si="3"/>
        <v>0.52456756519958458</v>
      </c>
      <c r="F31" s="455">
        <f t="shared" si="3"/>
        <v>0.50737063191081067</v>
      </c>
      <c r="G31" s="455"/>
      <c r="H31" s="456"/>
      <c r="I31" s="1098">
        <f>B31+$K$17</f>
        <v>4204.9903099215808</v>
      </c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193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3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193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193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193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193"/>
      <c r="AD40" s="467" t="s">
        <v>423</v>
      </c>
      <c r="AE40" s="1196" t="s">
        <v>424</v>
      </c>
      <c r="AF40" s="1196"/>
      <c r="AG40" s="1095" t="s">
        <v>409</v>
      </c>
      <c r="AH40" s="1095" t="s">
        <v>410</v>
      </c>
      <c r="AI40" s="10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3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3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3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3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3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3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3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3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3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3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3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3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3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3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3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3"/>
      <c r="AG56" s="453"/>
    </row>
    <row r="57" spans="29:40" x14ac:dyDescent="0.25">
      <c r="AC57" s="1193"/>
      <c r="AD57" s="425" t="s">
        <v>426</v>
      </c>
      <c r="AE57" s="492"/>
      <c r="AF57" s="492"/>
      <c r="AG57" s="493"/>
      <c r="AH57" s="494"/>
    </row>
    <row r="58" spans="29:40" x14ac:dyDescent="0.25">
      <c r="AC58" s="1193"/>
      <c r="AD58" s="495" t="s">
        <v>419</v>
      </c>
      <c r="AE58" s="1198" t="s">
        <v>427</v>
      </c>
      <c r="AF58" s="1198"/>
      <c r="AG58" s="1198"/>
      <c r="AH58" s="1200"/>
      <c r="AN58" s="515" t="s">
        <v>241</v>
      </c>
    </row>
    <row r="59" spans="29:40" x14ac:dyDescent="0.25">
      <c r="AC59" s="1193"/>
      <c r="AD59" s="495">
        <v>1</v>
      </c>
      <c r="AE59" s="1197">
        <v>47.4</v>
      </c>
      <c r="AF59" s="1198"/>
      <c r="AG59" s="1198"/>
      <c r="AH59" s="1200"/>
      <c r="AI59" s="380" t="s">
        <v>663</v>
      </c>
    </row>
    <row r="60" spans="29:40" x14ac:dyDescent="0.25">
      <c r="AC60" s="1193"/>
      <c r="AD60" s="513">
        <v>2</v>
      </c>
      <c r="AE60" s="1216">
        <v>42.7</v>
      </c>
      <c r="AF60" s="1217"/>
      <c r="AG60" s="1217"/>
      <c r="AH60" s="1218"/>
      <c r="AI60" s="380" t="s">
        <v>435</v>
      </c>
    </row>
    <row r="61" spans="29:40" x14ac:dyDescent="0.25">
      <c r="AC61" s="1193"/>
      <c r="AD61" s="496">
        <v>3</v>
      </c>
      <c r="AE61" s="1219">
        <v>38</v>
      </c>
      <c r="AF61" s="1205"/>
      <c r="AG61" s="1205"/>
      <c r="AH61" s="1206"/>
      <c r="AI61" s="380" t="s">
        <v>437</v>
      </c>
    </row>
    <row r="62" spans="29:40" x14ac:dyDescent="0.25">
      <c r="AC62" s="1193"/>
      <c r="AD62" s="496">
        <v>4</v>
      </c>
      <c r="AE62" s="1201">
        <v>22.8</v>
      </c>
      <c r="AF62" s="1202"/>
      <c r="AG62" s="1202"/>
      <c r="AH62" s="1204"/>
      <c r="AI62" s="380" t="s">
        <v>436</v>
      </c>
    </row>
    <row r="63" spans="29:40" ht="15.75" thickBot="1" x14ac:dyDescent="0.3">
      <c r="AC63" s="1193"/>
      <c r="AD63" s="514">
        <v>5</v>
      </c>
      <c r="AE63" s="1220">
        <v>20.6</v>
      </c>
      <c r="AF63" s="1221"/>
      <c r="AG63" s="1221"/>
      <c r="AH63" s="1222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DEE8-DA04-4EAA-AE0B-668663B6BAA8}">
  <sheetPr codeName="Sheet11"/>
  <dimension ref="A1:AN65"/>
  <sheetViews>
    <sheetView showGridLines="0" topLeftCell="A7" zoomScale="85" zoomScaleNormal="85" workbookViewId="0">
      <selection activeCell="AL49" sqref="AL4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44"/>
      <c r="L2" s="104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3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3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3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3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3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4" t="s">
        <v>384</v>
      </c>
      <c r="D8" s="1194"/>
      <c r="E8" s="1194"/>
      <c r="F8" s="1194"/>
      <c r="G8" s="1194"/>
      <c r="H8" s="1195"/>
      <c r="J8" s="262" t="s">
        <v>385</v>
      </c>
      <c r="K8" s="252">
        <v>0.45</v>
      </c>
      <c r="L8" s="87" t="s">
        <v>184</v>
      </c>
      <c r="M8" s="381"/>
      <c r="AC8" s="1193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3"/>
      <c r="AD9" s="467" t="s">
        <v>407</v>
      </c>
      <c r="AE9" s="1196" t="s">
        <v>408</v>
      </c>
      <c r="AF9" s="1196"/>
      <c r="AG9" s="1046" t="s">
        <v>409</v>
      </c>
      <c r="AH9" s="1046" t="s">
        <v>410</v>
      </c>
      <c r="AI9" s="104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93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3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999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3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93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3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93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3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93"/>
      <c r="AD17" s="495" t="s">
        <v>419</v>
      </c>
      <c r="AE17" s="1197" t="s">
        <v>420</v>
      </c>
      <c r="AF17" s="1198"/>
      <c r="AG17" s="1198"/>
      <c r="AH17" s="1199"/>
      <c r="AI17" s="1198" t="s">
        <v>421</v>
      </c>
      <c r="AJ17" s="1198"/>
      <c r="AK17" s="1198"/>
      <c r="AL17" s="1200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93"/>
      <c r="AD18" s="496">
        <v>1</v>
      </c>
      <c r="AE18" s="1201">
        <v>40.9</v>
      </c>
      <c r="AF18" s="1202"/>
      <c r="AG18" s="1202"/>
      <c r="AH18" s="1203"/>
      <c r="AI18" s="1202">
        <v>30.6</v>
      </c>
      <c r="AJ18" s="1202"/>
      <c r="AK18" s="1202"/>
      <c r="AL18" s="120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3"/>
      <c r="AD19" s="496">
        <v>2</v>
      </c>
      <c r="AE19" s="1201">
        <v>30.6</v>
      </c>
      <c r="AF19" s="1202"/>
      <c r="AG19" s="1202"/>
      <c r="AH19" s="1203"/>
      <c r="AI19" s="1205">
        <v>23</v>
      </c>
      <c r="AJ19" s="1205"/>
      <c r="AK19" s="1205"/>
      <c r="AL19" s="1206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93"/>
      <c r="AD20" s="513">
        <v>3</v>
      </c>
      <c r="AE20" s="1207">
        <v>23</v>
      </c>
      <c r="AF20" s="1208"/>
      <c r="AG20" s="1208"/>
      <c r="AH20" s="1209"/>
      <c r="AI20" s="1208">
        <v>17.2</v>
      </c>
      <c r="AJ20" s="1208"/>
      <c r="AK20" s="1208"/>
      <c r="AL20" s="1210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3"/>
      <c r="AD21" s="497">
        <v>4</v>
      </c>
      <c r="AE21" s="1211">
        <v>17.2</v>
      </c>
      <c r="AF21" s="1212"/>
      <c r="AG21" s="1212"/>
      <c r="AH21" s="1213"/>
      <c r="AI21" s="1212">
        <v>12.9</v>
      </c>
      <c r="AJ21" s="1212"/>
      <c r="AK21" s="1212"/>
      <c r="AL21" s="1214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4" t="s">
        <v>395</v>
      </c>
      <c r="D25" s="1194"/>
      <c r="E25" s="1194"/>
      <c r="F25" s="1194"/>
      <c r="G25" s="1194"/>
      <c r="H25" s="1195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215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15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1000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1002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455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93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3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93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93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93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93"/>
      <c r="AD40" s="467" t="s">
        <v>423</v>
      </c>
      <c r="AE40" s="1196" t="s">
        <v>424</v>
      </c>
      <c r="AF40" s="1196"/>
      <c r="AG40" s="1046" t="s">
        <v>409</v>
      </c>
      <c r="AH40" s="1046" t="s">
        <v>410</v>
      </c>
      <c r="AI40" s="104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3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3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3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3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3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3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3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3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3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3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3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3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3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3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3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3"/>
      <c r="AG56" s="453"/>
    </row>
    <row r="57" spans="29:40" x14ac:dyDescent="0.25">
      <c r="AC57" s="1193"/>
      <c r="AD57" s="425" t="s">
        <v>426</v>
      </c>
      <c r="AE57" s="492"/>
      <c r="AF57" s="492"/>
      <c r="AG57" s="493"/>
      <c r="AH57" s="494"/>
    </row>
    <row r="58" spans="29:40" x14ac:dyDescent="0.25">
      <c r="AC58" s="1193"/>
      <c r="AD58" s="495" t="s">
        <v>419</v>
      </c>
      <c r="AE58" s="1198" t="s">
        <v>427</v>
      </c>
      <c r="AF58" s="1198"/>
      <c r="AG58" s="1198"/>
      <c r="AH58" s="1200"/>
      <c r="AN58" s="515" t="s">
        <v>241</v>
      </c>
    </row>
    <row r="59" spans="29:40" x14ac:dyDescent="0.25">
      <c r="AC59" s="1193"/>
      <c r="AD59" s="495">
        <v>1</v>
      </c>
      <c r="AE59" s="1197">
        <v>47.4</v>
      </c>
      <c r="AF59" s="1198"/>
      <c r="AG59" s="1198"/>
      <c r="AH59" s="1200"/>
      <c r="AI59" s="380" t="s">
        <v>663</v>
      </c>
    </row>
    <row r="60" spans="29:40" x14ac:dyDescent="0.25">
      <c r="AC60" s="1193"/>
      <c r="AD60" s="513">
        <v>2</v>
      </c>
      <c r="AE60" s="1216">
        <v>42.7</v>
      </c>
      <c r="AF60" s="1217"/>
      <c r="AG60" s="1217"/>
      <c r="AH60" s="1218"/>
      <c r="AI60" s="380" t="s">
        <v>435</v>
      </c>
    </row>
    <row r="61" spans="29:40" x14ac:dyDescent="0.25">
      <c r="AC61" s="1193"/>
      <c r="AD61" s="496">
        <v>3</v>
      </c>
      <c r="AE61" s="1219">
        <v>38</v>
      </c>
      <c r="AF61" s="1205"/>
      <c r="AG61" s="1205"/>
      <c r="AH61" s="1206"/>
      <c r="AI61" s="380" t="s">
        <v>437</v>
      </c>
    </row>
    <row r="62" spans="29:40" x14ac:dyDescent="0.25">
      <c r="AC62" s="1193"/>
      <c r="AD62" s="496">
        <v>4</v>
      </c>
      <c r="AE62" s="1201">
        <v>22.8</v>
      </c>
      <c r="AF62" s="1202"/>
      <c r="AG62" s="1202"/>
      <c r="AH62" s="1204"/>
      <c r="AI62" s="380" t="s">
        <v>436</v>
      </c>
    </row>
    <row r="63" spans="29:40" ht="15.75" thickBot="1" x14ac:dyDescent="0.3">
      <c r="AC63" s="1193"/>
      <c r="AD63" s="514">
        <v>5</v>
      </c>
      <c r="AE63" s="1220">
        <v>20.6</v>
      </c>
      <c r="AF63" s="1221"/>
      <c r="AG63" s="1221"/>
      <c r="AH63" s="1222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sheetPr codeName="Sheet12"/>
  <dimension ref="A1:AN65"/>
  <sheetViews>
    <sheetView showGridLines="0" topLeftCell="A4" zoomScaleNormal="100" workbookViewId="0">
      <selection activeCell="F29" sqref="F2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3"/>
      <c r="L2" s="9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3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3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3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3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3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4" t="s">
        <v>384</v>
      </c>
      <c r="D8" s="1194"/>
      <c r="E8" s="1194"/>
      <c r="F8" s="1194"/>
      <c r="G8" s="1194"/>
      <c r="H8" s="1195"/>
      <c r="J8" s="262" t="s">
        <v>385</v>
      </c>
      <c r="K8" s="252">
        <v>0.45</v>
      </c>
      <c r="L8" s="87" t="s">
        <v>184</v>
      </c>
      <c r="M8" s="381"/>
      <c r="AC8" s="1193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3"/>
      <c r="AD9" s="467" t="s">
        <v>407</v>
      </c>
      <c r="AE9" s="1196" t="s">
        <v>408</v>
      </c>
      <c r="AF9" s="1196"/>
      <c r="AG9" s="995" t="s">
        <v>409</v>
      </c>
      <c r="AH9" s="995" t="s">
        <v>410</v>
      </c>
      <c r="AI9" s="9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1193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3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999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3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1193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1193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1193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1193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1193"/>
      <c r="AD17" s="495" t="s">
        <v>419</v>
      </c>
      <c r="AE17" s="1197" t="s">
        <v>420</v>
      </c>
      <c r="AF17" s="1198"/>
      <c r="AG17" s="1198"/>
      <c r="AH17" s="1199"/>
      <c r="AI17" s="1198" t="s">
        <v>421</v>
      </c>
      <c r="AJ17" s="1198"/>
      <c r="AK17" s="1198"/>
      <c r="AL17" s="1200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1193"/>
      <c r="AD18" s="496">
        <v>1</v>
      </c>
      <c r="AE18" s="1201">
        <v>40.9</v>
      </c>
      <c r="AF18" s="1202"/>
      <c r="AG18" s="1202"/>
      <c r="AH18" s="1203"/>
      <c r="AI18" s="1202">
        <v>30.6</v>
      </c>
      <c r="AJ18" s="1202"/>
      <c r="AK18" s="1202"/>
      <c r="AL18" s="120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3"/>
      <c r="AD19" s="496">
        <v>2</v>
      </c>
      <c r="AE19" s="1201">
        <v>30.6</v>
      </c>
      <c r="AF19" s="1202"/>
      <c r="AG19" s="1202"/>
      <c r="AH19" s="1203"/>
      <c r="AI19" s="1205">
        <v>23</v>
      </c>
      <c r="AJ19" s="1205"/>
      <c r="AK19" s="1205"/>
      <c r="AL19" s="1206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1193"/>
      <c r="AD20" s="513">
        <v>3</v>
      </c>
      <c r="AE20" s="1207">
        <v>23</v>
      </c>
      <c r="AF20" s="1208"/>
      <c r="AG20" s="1208"/>
      <c r="AH20" s="1209"/>
      <c r="AI20" s="1208">
        <v>17.2</v>
      </c>
      <c r="AJ20" s="1208"/>
      <c r="AK20" s="1208"/>
      <c r="AL20" s="1210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3"/>
      <c r="AD21" s="497">
        <v>4</v>
      </c>
      <c r="AE21" s="1211">
        <v>17.2</v>
      </c>
      <c r="AF21" s="1212"/>
      <c r="AG21" s="1212"/>
      <c r="AH21" s="1213"/>
      <c r="AI21" s="1212">
        <v>12.9</v>
      </c>
      <c r="AJ21" s="1212"/>
      <c r="AK21" s="1212"/>
      <c r="AL21" s="1214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4" t="s">
        <v>395</v>
      </c>
      <c r="D25" s="1194"/>
      <c r="E25" s="1194"/>
      <c r="F25" s="1194"/>
      <c r="G25" s="1194"/>
      <c r="H25" s="1195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1215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15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1000">
        <f t="shared" si="3"/>
        <v>0.54113323062005925</v>
      </c>
      <c r="E29" s="1000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1002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0.61564207731813747</v>
      </c>
      <c r="D34" s="455">
        <f t="shared" si="4"/>
        <v>0.57756276922614469</v>
      </c>
      <c r="E34" s="998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1193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3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1193"/>
    </row>
    <row r="38" spans="2:40" ht="15.75" thickBot="1" x14ac:dyDescent="0.3">
      <c r="B38" s="438">
        <v>760</v>
      </c>
      <c r="C38" s="455">
        <f t="shared" si="5"/>
        <v>0.64093661052136408</v>
      </c>
      <c r="D38" s="689">
        <f t="shared" si="5"/>
        <v>0.60375034716107323</v>
      </c>
      <c r="E38" s="689">
        <f t="shared" si="5"/>
        <v>0.58770584066447817</v>
      </c>
      <c r="F38" s="455">
        <f t="shared" si="5"/>
        <v>0.57038029401515367</v>
      </c>
      <c r="G38" s="455"/>
      <c r="H38" s="456"/>
      <c r="AC38" s="1193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1193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1193"/>
      <c r="AD40" s="467" t="s">
        <v>423</v>
      </c>
      <c r="AE40" s="1196" t="s">
        <v>424</v>
      </c>
      <c r="AF40" s="1196"/>
      <c r="AG40" s="995" t="s">
        <v>409</v>
      </c>
      <c r="AH40" s="995" t="s">
        <v>410</v>
      </c>
      <c r="AI40" s="9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3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3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3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3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3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3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3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3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3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3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3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3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3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3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3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3"/>
      <c r="AG56" s="453"/>
    </row>
    <row r="57" spans="29:40" x14ac:dyDescent="0.25">
      <c r="AC57" s="1193"/>
      <c r="AD57" s="425" t="s">
        <v>426</v>
      </c>
      <c r="AE57" s="492"/>
      <c r="AF57" s="492"/>
      <c r="AG57" s="493"/>
      <c r="AH57" s="494"/>
    </row>
    <row r="58" spans="29:40" x14ac:dyDescent="0.25">
      <c r="AC58" s="1193"/>
      <c r="AD58" s="495" t="s">
        <v>419</v>
      </c>
      <c r="AE58" s="1198" t="s">
        <v>427</v>
      </c>
      <c r="AF58" s="1198"/>
      <c r="AG58" s="1198"/>
      <c r="AH58" s="1200"/>
      <c r="AN58" s="515" t="s">
        <v>241</v>
      </c>
    </row>
    <row r="59" spans="29:40" x14ac:dyDescent="0.25">
      <c r="AC59" s="1193"/>
      <c r="AD59" s="495">
        <v>1</v>
      </c>
      <c r="AE59" s="1197">
        <v>47.4</v>
      </c>
      <c r="AF59" s="1198"/>
      <c r="AG59" s="1198"/>
      <c r="AH59" s="1200"/>
      <c r="AI59" s="380" t="s">
        <v>663</v>
      </c>
    </row>
    <row r="60" spans="29:40" x14ac:dyDescent="0.25">
      <c r="AC60" s="1193"/>
      <c r="AD60" s="513">
        <v>2</v>
      </c>
      <c r="AE60" s="1216">
        <v>42.7</v>
      </c>
      <c r="AF60" s="1217"/>
      <c r="AG60" s="1217"/>
      <c r="AH60" s="1218"/>
      <c r="AI60" s="380" t="s">
        <v>435</v>
      </c>
    </row>
    <row r="61" spans="29:40" x14ac:dyDescent="0.25">
      <c r="AC61" s="1193"/>
      <c r="AD61" s="496">
        <v>3</v>
      </c>
      <c r="AE61" s="1219">
        <v>38</v>
      </c>
      <c r="AF61" s="1205"/>
      <c r="AG61" s="1205"/>
      <c r="AH61" s="1206"/>
      <c r="AI61" s="380" t="s">
        <v>437</v>
      </c>
    </row>
    <row r="62" spans="29:40" x14ac:dyDescent="0.25">
      <c r="AC62" s="1193"/>
      <c r="AD62" s="496">
        <v>4</v>
      </c>
      <c r="AE62" s="1201">
        <v>22.8</v>
      </c>
      <c r="AF62" s="1202"/>
      <c r="AG62" s="1202"/>
      <c r="AH62" s="1204"/>
      <c r="AI62" s="380" t="s">
        <v>436</v>
      </c>
    </row>
    <row r="63" spans="29:40" ht="15.75" thickBot="1" x14ac:dyDescent="0.3">
      <c r="AC63" s="1193"/>
      <c r="AD63" s="514">
        <v>5</v>
      </c>
      <c r="AE63" s="1220">
        <v>20.6</v>
      </c>
      <c r="AF63" s="1221"/>
      <c r="AG63" s="1221"/>
      <c r="AH63" s="1222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sheetPr codeName="Sheet13"/>
  <dimension ref="A1:AN65"/>
  <sheetViews>
    <sheetView showGridLines="0" zoomScaleNormal="100" workbookViewId="0">
      <selection activeCell="F14" sqref="F1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3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3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3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3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3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4" t="s">
        <v>384</v>
      </c>
      <c r="D8" s="1194"/>
      <c r="E8" s="1194"/>
      <c r="F8" s="1194"/>
      <c r="G8" s="1194"/>
      <c r="H8" s="1195"/>
      <c r="J8" s="262" t="s">
        <v>385</v>
      </c>
      <c r="K8" s="252">
        <v>0.45</v>
      </c>
      <c r="L8" s="87" t="s">
        <v>184</v>
      </c>
      <c r="M8" s="381"/>
      <c r="AC8" s="1193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3"/>
      <c r="AD9" s="467" t="s">
        <v>407</v>
      </c>
      <c r="AE9" s="1196" t="s">
        <v>408</v>
      </c>
      <c r="AF9" s="1196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193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3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999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3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193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3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93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3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93"/>
      <c r="AD17" s="495" t="s">
        <v>419</v>
      </c>
      <c r="AE17" s="1197" t="s">
        <v>420</v>
      </c>
      <c r="AF17" s="1198"/>
      <c r="AG17" s="1198"/>
      <c r="AH17" s="1199"/>
      <c r="AI17" s="1198" t="s">
        <v>421</v>
      </c>
      <c r="AJ17" s="1198"/>
      <c r="AK17" s="1198"/>
      <c r="AL17" s="1200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193"/>
      <c r="AD18" s="496">
        <v>1</v>
      </c>
      <c r="AE18" s="1201">
        <v>40.9</v>
      </c>
      <c r="AF18" s="1202"/>
      <c r="AG18" s="1202"/>
      <c r="AH18" s="1203"/>
      <c r="AI18" s="1202">
        <v>30.6</v>
      </c>
      <c r="AJ18" s="1202"/>
      <c r="AK18" s="1202"/>
      <c r="AL18" s="120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3"/>
      <c r="AD19" s="496">
        <v>2</v>
      </c>
      <c r="AE19" s="1201">
        <v>30.6</v>
      </c>
      <c r="AF19" s="1202"/>
      <c r="AG19" s="1202"/>
      <c r="AH19" s="1203"/>
      <c r="AI19" s="1205">
        <v>23</v>
      </c>
      <c r="AJ19" s="1205"/>
      <c r="AK19" s="1205"/>
      <c r="AL19" s="1206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193"/>
      <c r="AD20" s="513">
        <v>3</v>
      </c>
      <c r="AE20" s="1207">
        <v>23</v>
      </c>
      <c r="AF20" s="1208"/>
      <c r="AG20" s="1208"/>
      <c r="AH20" s="1209"/>
      <c r="AI20" s="1208">
        <v>17.2</v>
      </c>
      <c r="AJ20" s="1208"/>
      <c r="AK20" s="1208"/>
      <c r="AL20" s="1210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3"/>
      <c r="AD21" s="497">
        <v>4</v>
      </c>
      <c r="AE21" s="1211">
        <v>17.2</v>
      </c>
      <c r="AF21" s="1212"/>
      <c r="AG21" s="1212"/>
      <c r="AH21" s="1213"/>
      <c r="AI21" s="1212">
        <v>12.9</v>
      </c>
      <c r="AJ21" s="1212"/>
      <c r="AK21" s="1212"/>
      <c r="AL21" s="1214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4" t="s">
        <v>395</v>
      </c>
      <c r="D25" s="1194"/>
      <c r="E25" s="1194"/>
      <c r="F25" s="1194"/>
      <c r="G25" s="1194"/>
      <c r="H25" s="1195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215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15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002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193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3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193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193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193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193"/>
      <c r="AD40" s="467" t="s">
        <v>423</v>
      </c>
      <c r="AE40" s="1196" t="s">
        <v>424</v>
      </c>
      <c r="AF40" s="1196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3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3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3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3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3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3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3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3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3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3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3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3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3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3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3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3"/>
      <c r="AG56" s="453"/>
    </row>
    <row r="57" spans="29:40" x14ac:dyDescent="0.25">
      <c r="AC57" s="1193"/>
      <c r="AD57" s="425" t="s">
        <v>426</v>
      </c>
      <c r="AE57" s="492"/>
      <c r="AF57" s="492"/>
      <c r="AG57" s="493"/>
      <c r="AH57" s="494"/>
    </row>
    <row r="58" spans="29:40" x14ac:dyDescent="0.25">
      <c r="AC58" s="1193"/>
      <c r="AD58" s="495" t="s">
        <v>419</v>
      </c>
      <c r="AE58" s="1198" t="s">
        <v>427</v>
      </c>
      <c r="AF58" s="1198"/>
      <c r="AG58" s="1198"/>
      <c r="AH58" s="1200"/>
      <c r="AN58" s="515" t="s">
        <v>241</v>
      </c>
    </row>
    <row r="59" spans="29:40" x14ac:dyDescent="0.25">
      <c r="AC59" s="1193"/>
      <c r="AD59" s="495">
        <v>1</v>
      </c>
      <c r="AE59" s="1197">
        <v>47.4</v>
      </c>
      <c r="AF59" s="1198"/>
      <c r="AG59" s="1198"/>
      <c r="AH59" s="1200"/>
      <c r="AI59" s="380" t="s">
        <v>663</v>
      </c>
    </row>
    <row r="60" spans="29:40" x14ac:dyDescent="0.25">
      <c r="AC60" s="1193"/>
      <c r="AD60" s="513">
        <v>2</v>
      </c>
      <c r="AE60" s="1216">
        <v>42.7</v>
      </c>
      <c r="AF60" s="1217"/>
      <c r="AG60" s="1217"/>
      <c r="AH60" s="1218"/>
      <c r="AI60" s="380" t="s">
        <v>435</v>
      </c>
    </row>
    <row r="61" spans="29:40" x14ac:dyDescent="0.25">
      <c r="AC61" s="1193"/>
      <c r="AD61" s="496">
        <v>3</v>
      </c>
      <c r="AE61" s="1219">
        <v>38</v>
      </c>
      <c r="AF61" s="1205"/>
      <c r="AG61" s="1205"/>
      <c r="AH61" s="1206"/>
      <c r="AI61" s="380" t="s">
        <v>437</v>
      </c>
    </row>
    <row r="62" spans="29:40" x14ac:dyDescent="0.25">
      <c r="AC62" s="1193"/>
      <c r="AD62" s="496">
        <v>4</v>
      </c>
      <c r="AE62" s="1201">
        <v>22.8</v>
      </c>
      <c r="AF62" s="1202"/>
      <c r="AG62" s="1202"/>
      <c r="AH62" s="1204"/>
      <c r="AI62" s="380" t="s">
        <v>436</v>
      </c>
    </row>
    <row r="63" spans="29:40" ht="15.75" thickBot="1" x14ac:dyDescent="0.3">
      <c r="AC63" s="1193"/>
      <c r="AD63" s="514">
        <v>5</v>
      </c>
      <c r="AE63" s="1220">
        <v>20.6</v>
      </c>
      <c r="AF63" s="1221"/>
      <c r="AG63" s="1221"/>
      <c r="AH63" s="1222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sheetPr codeName="Sheet14"/>
  <dimension ref="A1:AN65"/>
  <sheetViews>
    <sheetView showGridLines="0" topLeftCell="A7" zoomScaleNormal="100" workbookViewId="0">
      <selection activeCell="F17" sqref="F1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3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3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3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3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3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4" t="s">
        <v>384</v>
      </c>
      <c r="D8" s="1194"/>
      <c r="E8" s="1194"/>
      <c r="F8" s="1194"/>
      <c r="G8" s="1194"/>
      <c r="H8" s="1195"/>
      <c r="J8" s="262" t="s">
        <v>385</v>
      </c>
      <c r="K8" s="252">
        <v>0.45</v>
      </c>
      <c r="L8" s="87" t="s">
        <v>184</v>
      </c>
      <c r="M8" s="381"/>
      <c r="AC8" s="1193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3"/>
      <c r="AD9" s="467" t="s">
        <v>407</v>
      </c>
      <c r="AE9" s="1196" t="s">
        <v>408</v>
      </c>
      <c r="AF9" s="1196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93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3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1001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3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93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3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93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3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00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93"/>
      <c r="AD17" s="495" t="s">
        <v>419</v>
      </c>
      <c r="AE17" s="1197" t="s">
        <v>420</v>
      </c>
      <c r="AF17" s="1198"/>
      <c r="AG17" s="1198"/>
      <c r="AH17" s="1199"/>
      <c r="AI17" s="1198" t="s">
        <v>421</v>
      </c>
      <c r="AJ17" s="1198"/>
      <c r="AK17" s="1198"/>
      <c r="AL17" s="1200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93"/>
      <c r="AD18" s="496">
        <v>1</v>
      </c>
      <c r="AE18" s="1201">
        <v>40.9</v>
      </c>
      <c r="AF18" s="1202"/>
      <c r="AG18" s="1202"/>
      <c r="AH18" s="1203"/>
      <c r="AI18" s="1202">
        <v>30.6</v>
      </c>
      <c r="AJ18" s="1202"/>
      <c r="AK18" s="1202"/>
      <c r="AL18" s="120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3"/>
      <c r="AD19" s="496">
        <v>2</v>
      </c>
      <c r="AE19" s="1201">
        <v>30.6</v>
      </c>
      <c r="AF19" s="1202"/>
      <c r="AG19" s="1202"/>
      <c r="AH19" s="1203"/>
      <c r="AI19" s="1205">
        <v>23</v>
      </c>
      <c r="AJ19" s="1205"/>
      <c r="AK19" s="1205"/>
      <c r="AL19" s="1206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93"/>
      <c r="AD20" s="513">
        <v>3</v>
      </c>
      <c r="AE20" s="1207">
        <v>23</v>
      </c>
      <c r="AF20" s="1208"/>
      <c r="AG20" s="1208"/>
      <c r="AH20" s="1209"/>
      <c r="AI20" s="1208">
        <v>17.2</v>
      </c>
      <c r="AJ20" s="1208"/>
      <c r="AK20" s="1208"/>
      <c r="AL20" s="1210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3"/>
      <c r="AD21" s="497">
        <v>4</v>
      </c>
      <c r="AE21" s="1211">
        <v>17.2</v>
      </c>
      <c r="AF21" s="1212"/>
      <c r="AG21" s="1212"/>
      <c r="AH21" s="1213"/>
      <c r="AI21" s="1212">
        <v>12.9</v>
      </c>
      <c r="AJ21" s="1212"/>
      <c r="AK21" s="1212"/>
      <c r="AL21" s="1214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4" t="s">
        <v>395</v>
      </c>
      <c r="D25" s="1194"/>
      <c r="E25" s="1194"/>
      <c r="F25" s="1194"/>
      <c r="G25" s="1194"/>
      <c r="H25" s="1195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215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15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1002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93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3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93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93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93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93"/>
      <c r="AD40" s="467" t="s">
        <v>423</v>
      </c>
      <c r="AE40" s="1196" t="s">
        <v>424</v>
      </c>
      <c r="AF40" s="1196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3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3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3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3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3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3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3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3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3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3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3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3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3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3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3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3"/>
      <c r="AG56" s="453"/>
    </row>
    <row r="57" spans="29:40" x14ac:dyDescent="0.25">
      <c r="AC57" s="1193"/>
      <c r="AD57" s="425" t="s">
        <v>426</v>
      </c>
      <c r="AE57" s="492"/>
      <c r="AF57" s="492"/>
      <c r="AG57" s="493"/>
      <c r="AH57" s="494"/>
    </row>
    <row r="58" spans="29:40" x14ac:dyDescent="0.25">
      <c r="AC58" s="1193"/>
      <c r="AD58" s="495" t="s">
        <v>419</v>
      </c>
      <c r="AE58" s="1198" t="s">
        <v>427</v>
      </c>
      <c r="AF58" s="1198"/>
      <c r="AG58" s="1198"/>
      <c r="AH58" s="1200"/>
      <c r="AN58" s="515" t="s">
        <v>241</v>
      </c>
    </row>
    <row r="59" spans="29:40" x14ac:dyDescent="0.25">
      <c r="AC59" s="1193"/>
      <c r="AD59" s="495">
        <v>1</v>
      </c>
      <c r="AE59" s="1197">
        <v>47.4</v>
      </c>
      <c r="AF59" s="1198"/>
      <c r="AG59" s="1198"/>
      <c r="AH59" s="1200"/>
      <c r="AI59" s="380" t="s">
        <v>663</v>
      </c>
    </row>
    <row r="60" spans="29:40" x14ac:dyDescent="0.25">
      <c r="AC60" s="1193"/>
      <c r="AD60" s="513">
        <v>2</v>
      </c>
      <c r="AE60" s="1216">
        <v>42.7</v>
      </c>
      <c r="AF60" s="1217"/>
      <c r="AG60" s="1217"/>
      <c r="AH60" s="1218"/>
      <c r="AI60" s="380" t="s">
        <v>435</v>
      </c>
    </row>
    <row r="61" spans="29:40" x14ac:dyDescent="0.25">
      <c r="AC61" s="1193"/>
      <c r="AD61" s="496">
        <v>3</v>
      </c>
      <c r="AE61" s="1219">
        <v>38</v>
      </c>
      <c r="AF61" s="1205"/>
      <c r="AG61" s="1205"/>
      <c r="AH61" s="1206"/>
      <c r="AI61" s="380" t="s">
        <v>437</v>
      </c>
    </row>
    <row r="62" spans="29:40" x14ac:dyDescent="0.25">
      <c r="AC62" s="1193"/>
      <c r="AD62" s="496">
        <v>4</v>
      </c>
      <c r="AE62" s="1201">
        <v>22.8</v>
      </c>
      <c r="AF62" s="1202"/>
      <c r="AG62" s="1202"/>
      <c r="AH62" s="1204"/>
      <c r="AI62" s="380" t="s">
        <v>436</v>
      </c>
    </row>
    <row r="63" spans="29:40" ht="15.75" thickBot="1" x14ac:dyDescent="0.3">
      <c r="AC63" s="1193"/>
      <c r="AD63" s="514">
        <v>5</v>
      </c>
      <c r="AE63" s="1220">
        <v>20.6</v>
      </c>
      <c r="AF63" s="1221"/>
      <c r="AG63" s="1221"/>
      <c r="AH63" s="1222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sheetPr codeName="Sheet15"/>
  <dimension ref="A1:AN65"/>
  <sheetViews>
    <sheetView showGridLines="0" zoomScaleNormal="100" workbookViewId="0">
      <selection activeCell="AL46" sqref="AL46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3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3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3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3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3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4" t="s">
        <v>384</v>
      </c>
      <c r="D8" s="1194"/>
      <c r="E8" s="1194"/>
      <c r="F8" s="1194"/>
      <c r="G8" s="1194"/>
      <c r="H8" s="1195"/>
      <c r="J8" s="262" t="s">
        <v>385</v>
      </c>
      <c r="K8" s="252">
        <v>0.45</v>
      </c>
      <c r="L8" s="87" t="s">
        <v>184</v>
      </c>
      <c r="M8" s="381"/>
      <c r="AC8" s="1193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3"/>
      <c r="AD9" s="467" t="s">
        <v>407</v>
      </c>
      <c r="AE9" s="1196" t="s">
        <v>408</v>
      </c>
      <c r="AF9" s="1196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0.26345717766173965</v>
      </c>
      <c r="D10" s="145">
        <f>$K$3*$K$9*9.81/($K$16+$K$17+($B10*$K$24/($B10+$K$24))+(D$2*$K$22/(D$2+$K$22)))</f>
        <v>0.28505614865203066</v>
      </c>
      <c r="E10" s="145">
        <f>$K$3*$K$9*9.81/($K$16+$K$17+($B10*$K$24/($B10+$K$24))+(E$2*$K$22/(E$2+$K$22)))</f>
        <v>0.29411661069186923</v>
      </c>
      <c r="F10" s="145">
        <f>$K$3*$K$9*9.81/($K$16+$K$17+($B10*$K$24/($B10+$K$24))+(F$2*$K$22/(F$2+$K$22)))</f>
        <v>0.30373174605604181</v>
      </c>
      <c r="G10" s="145"/>
      <c r="H10" s="146"/>
      <c r="J10" s="99"/>
      <c r="L10" s="87"/>
      <c r="M10" s="381"/>
      <c r="AC10" s="1193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3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0.26858840991747529</v>
      </c>
      <c r="D12" s="145">
        <f t="shared" si="0"/>
        <v>0.29107282207483731</v>
      </c>
      <c r="E12" s="999">
        <f t="shared" si="0"/>
        <v>0.30052614056765081</v>
      </c>
      <c r="F12" s="145">
        <f t="shared" si="0"/>
        <v>0.31057207456419372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3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0.27130540582856189</v>
      </c>
      <c r="D13" s="145">
        <f t="shared" si="0"/>
        <v>0.2942664601024278</v>
      </c>
      <c r="E13" s="558">
        <f t="shared" si="0"/>
        <v>0.30393180356491523</v>
      </c>
      <c r="F13" s="145">
        <f t="shared" si="0"/>
        <v>0.31421060923251942</v>
      </c>
      <c r="G13" s="145"/>
      <c r="H13" s="146"/>
      <c r="J13" s="99"/>
      <c r="L13" s="87"/>
      <c r="M13" s="381"/>
      <c r="AC13" s="1193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0.27582749516324356</v>
      </c>
      <c r="D14" s="145">
        <f t="shared" si="0"/>
        <v>0.29959387886125183</v>
      </c>
      <c r="E14" s="145">
        <f t="shared" si="0"/>
        <v>0.30961831510758814</v>
      </c>
      <c r="F14" s="145">
        <f t="shared" si="0"/>
        <v>0.32029210220955551</v>
      </c>
      <c r="G14" s="145"/>
      <c r="H14" s="146"/>
      <c r="J14" s="262" t="s">
        <v>389</v>
      </c>
      <c r="K14" s="443">
        <v>124</v>
      </c>
      <c r="L14" s="87" t="s">
        <v>69</v>
      </c>
      <c r="M14" s="381">
        <v>1100</v>
      </c>
      <c r="AC14" s="1193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93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0.27963557890423052</v>
      </c>
      <c r="D16" s="145">
        <f t="shared" si="1"/>
        <v>0.30409182434384663</v>
      </c>
      <c r="E16" s="145">
        <f t="shared" si="1"/>
        <v>0.31442471415648343</v>
      </c>
      <c r="F16" s="145">
        <f t="shared" si="1"/>
        <v>0.32543835930757614</v>
      </c>
      <c r="G16" s="145"/>
      <c r="H16" s="146"/>
      <c r="J16" s="262" t="s">
        <v>391</v>
      </c>
      <c r="K16" s="278">
        <f>(K21*K14/(K14+K21)*1000)*((2*$K$11)^2/2)*(6.28/360)</f>
        <v>2894.7787592696563</v>
      </c>
      <c r="L16" s="87" t="s">
        <v>392</v>
      </c>
      <c r="M16" s="381"/>
      <c r="AC16" s="1193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0.28346760980292357</v>
      </c>
      <c r="D17" s="145">
        <f t="shared" si="1"/>
        <v>0.30862888353461171</v>
      </c>
      <c r="E17" s="145">
        <f t="shared" si="1"/>
        <v>0.31927780631950503</v>
      </c>
      <c r="F17" s="145">
        <f t="shared" si="1"/>
        <v>0.33064020586927945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93"/>
      <c r="AD17" s="495" t="s">
        <v>419</v>
      </c>
      <c r="AE17" s="1197" t="s">
        <v>420</v>
      </c>
      <c r="AF17" s="1198"/>
      <c r="AG17" s="1198"/>
      <c r="AH17" s="1199"/>
      <c r="AI17" s="1198" t="s">
        <v>421</v>
      </c>
      <c r="AJ17" s="1198"/>
      <c r="AK17" s="1198"/>
      <c r="AL17" s="1200"/>
    </row>
    <row r="18" spans="2:40" ht="15.75" thickBot="1" x14ac:dyDescent="0.3">
      <c r="B18" s="444">
        <v>1009.0731614400001</v>
      </c>
      <c r="C18" s="145">
        <f t="shared" si="1"/>
        <v>0.2866434921455086</v>
      </c>
      <c r="D18" s="145">
        <f t="shared" si="1"/>
        <v>0.31239733358249783</v>
      </c>
      <c r="E18" s="145">
        <f t="shared" si="1"/>
        <v>0.32331249562830144</v>
      </c>
      <c r="F18" s="145">
        <f t="shared" si="1"/>
        <v>0.33496912343972518</v>
      </c>
      <c r="G18" s="145"/>
      <c r="H18" s="146"/>
      <c r="J18" s="100"/>
      <c r="K18" s="88"/>
      <c r="L18" s="142"/>
      <c r="M18" s="381"/>
      <c r="AC18" s="1193"/>
      <c r="AD18" s="496">
        <v>1</v>
      </c>
      <c r="AE18" s="1201">
        <v>40.9</v>
      </c>
      <c r="AF18" s="1202"/>
      <c r="AG18" s="1202"/>
      <c r="AH18" s="1203"/>
      <c r="AI18" s="1202">
        <v>30.6</v>
      </c>
      <c r="AJ18" s="1202"/>
      <c r="AK18" s="1202"/>
      <c r="AL18" s="120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3"/>
      <c r="AD19" s="496">
        <v>2</v>
      </c>
      <c r="AE19" s="1201">
        <v>30.6</v>
      </c>
      <c r="AF19" s="1202"/>
      <c r="AG19" s="1202"/>
      <c r="AH19" s="1203"/>
      <c r="AI19" s="1205">
        <v>23</v>
      </c>
      <c r="AJ19" s="1205"/>
      <c r="AK19" s="1205"/>
      <c r="AL19" s="1206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0.29154302739540022</v>
      </c>
      <c r="D20" s="145">
        <f t="shared" si="2"/>
        <v>0.31822578015032782</v>
      </c>
      <c r="E20" s="145">
        <f t="shared" si="2"/>
        <v>0.32955942165317886</v>
      </c>
      <c r="F20" s="145">
        <f t="shared" si="2"/>
        <v>0.34167929431134075</v>
      </c>
      <c r="G20" s="145"/>
      <c r="H20" s="146"/>
      <c r="J20" s="86" t="s">
        <v>394</v>
      </c>
      <c r="K20" s="69"/>
      <c r="L20" s="70"/>
      <c r="M20" s="381"/>
      <c r="AC20" s="1193"/>
      <c r="AD20" s="513">
        <v>3</v>
      </c>
      <c r="AE20" s="1207">
        <v>23</v>
      </c>
      <c r="AF20" s="1208"/>
      <c r="AG20" s="1208"/>
      <c r="AH20" s="1209"/>
      <c r="AI20" s="1208">
        <v>17.2</v>
      </c>
      <c r="AJ20" s="1208"/>
      <c r="AK20" s="1208"/>
      <c r="AL20" s="1210"/>
    </row>
    <row r="21" spans="2:40" ht="15.75" thickBot="1" x14ac:dyDescent="0.3">
      <c r="B21" s="438">
        <v>760</v>
      </c>
      <c r="C21" s="145">
        <f t="shared" si="2"/>
        <v>0.29395986442538385</v>
      </c>
      <c r="D21" s="558">
        <f t="shared" si="2"/>
        <v>0.32110743786674467</v>
      </c>
      <c r="E21" s="558">
        <f t="shared" si="2"/>
        <v>0.33265099265170134</v>
      </c>
      <c r="F21" s="145">
        <f t="shared" si="2"/>
        <v>0.34500358457541441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3"/>
      <c r="AD21" s="497">
        <v>4</v>
      </c>
      <c r="AE21" s="1211">
        <v>17.2</v>
      </c>
      <c r="AF21" s="1212"/>
      <c r="AG21" s="1212"/>
      <c r="AH21" s="1213"/>
      <c r="AI21" s="1212">
        <v>12.9</v>
      </c>
      <c r="AJ21" s="1212"/>
      <c r="AK21" s="1212"/>
      <c r="AL21" s="1214"/>
    </row>
    <row r="22" spans="2:40" x14ac:dyDescent="0.25">
      <c r="B22" s="438">
        <v>672.71544096000025</v>
      </c>
      <c r="C22" s="145">
        <f t="shared" si="2"/>
        <v>0.296612968830679</v>
      </c>
      <c r="D22" s="558">
        <f t="shared" si="2"/>
        <v>0.32427584609893734</v>
      </c>
      <c r="E22" s="558">
        <f t="shared" si="2"/>
        <v>0.33605250559690547</v>
      </c>
      <c r="F22" s="145">
        <f t="shared" si="2"/>
        <v>0.34866379988229868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0.31878789118260575</v>
      </c>
      <c r="D23" s="450">
        <f t="shared" si="2"/>
        <v>0.35096591514776998</v>
      </c>
      <c r="E23" s="450">
        <f t="shared" si="2"/>
        <v>0.36480230844345063</v>
      </c>
      <c r="F23" s="450">
        <f t="shared" si="2"/>
        <v>0.37971160351452921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4" t="s">
        <v>395</v>
      </c>
      <c r="D25" s="1194"/>
      <c r="E25" s="1194"/>
      <c r="F25" s="1194"/>
      <c r="G25" s="1194"/>
      <c r="H25" s="1195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0.56895061963994775</v>
      </c>
      <c r="D27" s="455">
        <f>((D$2*$K$22/(D$2+$K$22))+$K$16)/((D$2*$K$22/(D$2+$K$22))+($B27*$K$24/($B27+$K$24))+$K$16+$K$17)</f>
        <v>0.53361196178135128</v>
      </c>
      <c r="E27" s="559">
        <f>((E$2*$K$22/(E$2+$K$22))+$K$16)/((E$2*$K$22/(E$2+$K$22))+($B27*$K$24/($B27+$K$24))+$K$16+$K$17)</f>
        <v>0.5187878959399469</v>
      </c>
      <c r="F27" s="455">
        <f>((F$2*$K$22/(F$2+$K$22))+$K$16)/((F$2*$K$22/(F$2+$K$22))+($B27*$K$24/($B27+$K$24))+$K$16+$K$17)</f>
        <v>0.5030563141413823</v>
      </c>
      <c r="G27" s="455"/>
      <c r="H27" s="456"/>
      <c r="J27" s="1215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15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0.58003180481519323</v>
      </c>
      <c r="D29" s="1000">
        <f t="shared" si="3"/>
        <v>0.54487489690386537</v>
      </c>
      <c r="E29" s="1000">
        <f t="shared" si="3"/>
        <v>0.53009356993910972</v>
      </c>
      <c r="F29" s="455">
        <f t="shared" si="3"/>
        <v>0.5143856219648465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0.585899310574162</v>
      </c>
      <c r="D30" s="455">
        <f t="shared" si="3"/>
        <v>0.55085323998181945</v>
      </c>
      <c r="E30" s="559">
        <f t="shared" si="3"/>
        <v>0.53610076802450546</v>
      </c>
      <c r="F30" s="455">
        <f t="shared" si="3"/>
        <v>0.52041195231355442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0.59566501728926879</v>
      </c>
      <c r="D31" s="1002">
        <f t="shared" si="3"/>
        <v>0.56082592216590743</v>
      </c>
      <c r="E31" s="559">
        <f t="shared" si="3"/>
        <v>0.54613112078670345</v>
      </c>
      <c r="F31" s="455">
        <f t="shared" si="3"/>
        <v>0.53048443726525907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0.60388878869418794</v>
      </c>
      <c r="D33" s="455">
        <f t="shared" si="4"/>
        <v>0.56924586863716509</v>
      </c>
      <c r="E33" s="559">
        <f t="shared" si="4"/>
        <v>0.55460905626868306</v>
      </c>
      <c r="F33" s="455">
        <f t="shared" si="4"/>
        <v>0.53900793591487495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0.61216427533547468</v>
      </c>
      <c r="D34" s="455">
        <f t="shared" si="4"/>
        <v>0.57773903416595929</v>
      </c>
      <c r="E34" s="998">
        <f t="shared" si="4"/>
        <v>0.5631693530371451</v>
      </c>
      <c r="F34" s="455">
        <f t="shared" si="4"/>
        <v>0.54762350472531029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0.61902277219919399</v>
      </c>
      <c r="D35" s="455">
        <f t="shared" si="4"/>
        <v>0.58479339883213699</v>
      </c>
      <c r="E35" s="455">
        <f t="shared" si="4"/>
        <v>0.57028608123674607</v>
      </c>
      <c r="F35" s="455">
        <f t="shared" si="4"/>
        <v>0.55479328314158594</v>
      </c>
      <c r="G35" s="455"/>
      <c r="H35" s="456"/>
      <c r="R35" s="453"/>
      <c r="S35" s="454"/>
      <c r="AC35" s="1193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3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38" si="5">((C$2*$K$22/(C$2+$K$22))+$K$16)/((C$2*$K$22/(C$2+$K$22))+($B37*$K$24/($B37+$K$24))+$K$16+$K$17)</f>
        <v>0.62960359463536497</v>
      </c>
      <c r="D37" s="455">
        <f t="shared" si="5"/>
        <v>0.59570398196428365</v>
      </c>
      <c r="E37" s="455">
        <f t="shared" si="5"/>
        <v>0.58130494073235572</v>
      </c>
      <c r="F37" s="455">
        <f t="shared" si="5"/>
        <v>0.56590701711824742</v>
      </c>
      <c r="G37" s="455"/>
      <c r="H37" s="456"/>
      <c r="AC37" s="1193"/>
    </row>
    <row r="38" spans="2:40" ht="15.75" thickBot="1" x14ac:dyDescent="0.3">
      <c r="B38" s="438">
        <v>760</v>
      </c>
      <c r="C38" s="455">
        <f t="shared" si="5"/>
        <v>0.63482289037815698</v>
      </c>
      <c r="D38" s="689">
        <f t="shared" si="5"/>
        <v>0.60109831229011923</v>
      </c>
      <c r="E38" s="689">
        <f t="shared" si="5"/>
        <v>0.58675811663323263</v>
      </c>
      <c r="F38" s="455">
        <f t="shared" si="5"/>
        <v>0.57141287954157305</v>
      </c>
      <c r="G38" s="455"/>
      <c r="H38" s="456"/>
      <c r="AC38" s="1193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ref="C39:F40" si="6">((C$2*$K$22/(C$2+$K$22))+$K$16)/((C$2*$K$22/(C$2+$K$22))+($B39*$K$24/($B39+$K$24))+$K$16+$K$17)</f>
        <v>0.64055241883040603</v>
      </c>
      <c r="D39" s="559">
        <f t="shared" si="6"/>
        <v>0.6070294263548377</v>
      </c>
      <c r="E39" s="559">
        <f t="shared" si="6"/>
        <v>0.59275799450379474</v>
      </c>
      <c r="F39" s="455">
        <f t="shared" si="6"/>
        <v>0.57747511849141708</v>
      </c>
      <c r="G39" s="455"/>
      <c r="H39" s="456"/>
      <c r="AC39" s="1193"/>
    </row>
    <row r="40" spans="2:40" ht="15.75" thickBot="1" x14ac:dyDescent="0.3">
      <c r="B40" s="449">
        <v>0</v>
      </c>
      <c r="C40" s="457">
        <f t="shared" si="6"/>
        <v>0.68844041309410775</v>
      </c>
      <c r="D40" s="457">
        <f t="shared" si="6"/>
        <v>0.65699200450856388</v>
      </c>
      <c r="E40" s="457">
        <f t="shared" si="6"/>
        <v>0.64346934226603725</v>
      </c>
      <c r="F40" s="457">
        <f t="shared" si="6"/>
        <v>0.62889810558521075</v>
      </c>
      <c r="G40" s="457"/>
      <c r="H40" s="458"/>
      <c r="AC40" s="1193"/>
      <c r="AD40" s="467" t="s">
        <v>423</v>
      </c>
      <c r="AE40" s="1196" t="s">
        <v>424</v>
      </c>
      <c r="AF40" s="1196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3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3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7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3"/>
      <c r="AD43" s="472">
        <v>3</v>
      </c>
      <c r="AE43" s="473"/>
      <c r="AF43" s="502">
        <v>1750</v>
      </c>
      <c r="AG43" s="479">
        <f t="shared" ref="AG43:AG55" si="8">AF43-AF42</f>
        <v>-139.79929796000056</v>
      </c>
      <c r="AH43" s="506">
        <f>AF43/$AE$38^2</f>
        <v>47.449483178873507</v>
      </c>
      <c r="AI43" s="480">
        <f t="shared" ref="AI43:AI55" si="9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3"/>
      <c r="AD44" s="472">
        <v>4</v>
      </c>
      <c r="AE44" s="473"/>
      <c r="AF44" s="502">
        <v>1681.7886024000004</v>
      </c>
      <c r="AG44" s="479">
        <f t="shared" si="8"/>
        <v>-68.2113975999996</v>
      </c>
      <c r="AH44" s="475">
        <f t="shared" si="7"/>
        <v>45.6</v>
      </c>
      <c r="AI44" s="480">
        <f t="shared" si="9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3"/>
      <c r="AD45" s="472">
        <v>5</v>
      </c>
      <c r="AE45" s="473"/>
      <c r="AF45" s="502">
        <v>1574.8327483000005</v>
      </c>
      <c r="AG45" s="479">
        <f t="shared" si="8"/>
        <v>-106.9558540999999</v>
      </c>
      <c r="AH45" s="506">
        <f t="shared" si="7"/>
        <v>42.7</v>
      </c>
      <c r="AI45" s="480">
        <f t="shared" si="9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3"/>
      <c r="AD46" s="472">
        <v>6</v>
      </c>
      <c r="AE46" s="473"/>
      <c r="AF46" s="502">
        <v>1401.4905020000003</v>
      </c>
      <c r="AG46" s="479">
        <f t="shared" si="8"/>
        <v>-173.34224630000017</v>
      </c>
      <c r="AH46" s="506">
        <f t="shared" si="7"/>
        <v>38</v>
      </c>
      <c r="AI46" s="480">
        <f t="shared" si="9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3"/>
      <c r="AD47" s="472">
        <v>7</v>
      </c>
      <c r="AE47" s="473"/>
      <c r="AF47" s="502">
        <v>1400</v>
      </c>
      <c r="AG47" s="479">
        <f t="shared" si="8"/>
        <v>-1.4905020000003333</v>
      </c>
      <c r="AH47" s="475">
        <f t="shared" si="7"/>
        <v>37.959586543098801</v>
      </c>
      <c r="AI47" s="480">
        <f t="shared" si="9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3"/>
      <c r="AD48" s="472">
        <v>8</v>
      </c>
      <c r="AE48" s="473"/>
      <c r="AF48" s="502">
        <v>1259.8661986400004</v>
      </c>
      <c r="AG48" s="479">
        <f t="shared" si="8"/>
        <v>-140.13380135999955</v>
      </c>
      <c r="AH48" s="475">
        <f t="shared" si="7"/>
        <v>34.160000000000004</v>
      </c>
      <c r="AI48" s="480">
        <f t="shared" si="9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3"/>
      <c r="AD49" s="472">
        <v>9</v>
      </c>
      <c r="AE49" s="473"/>
      <c r="AF49" s="502">
        <v>1121.1924016000003</v>
      </c>
      <c r="AG49" s="479">
        <f t="shared" si="8"/>
        <v>-138.67379704000018</v>
      </c>
      <c r="AH49" s="475">
        <f t="shared" si="7"/>
        <v>30.400000000000002</v>
      </c>
      <c r="AI49" s="480">
        <f t="shared" si="9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3"/>
      <c r="AD50" s="472">
        <v>10</v>
      </c>
      <c r="AE50" s="473"/>
      <c r="AF50" s="502">
        <v>1009.0731614400001</v>
      </c>
      <c r="AG50" s="479">
        <f t="shared" si="8"/>
        <v>-112.11924016000012</v>
      </c>
      <c r="AH50" s="475">
        <f t="shared" si="7"/>
        <v>27.36</v>
      </c>
      <c r="AI50" s="480">
        <f t="shared" si="9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3"/>
      <c r="AD51" s="472">
        <v>11</v>
      </c>
      <c r="AE51" s="473"/>
      <c r="AF51" s="502">
        <v>911.70645288000026</v>
      </c>
      <c r="AG51" s="479">
        <f t="shared" si="8"/>
        <v>-97.366708559999893</v>
      </c>
      <c r="AH51" s="475">
        <f t="shared" si="7"/>
        <v>24.720000000000002</v>
      </c>
      <c r="AI51" s="480">
        <f t="shared" si="9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3"/>
      <c r="AD52" s="472">
        <v>12</v>
      </c>
      <c r="AE52" s="473"/>
      <c r="AF52" s="502">
        <v>840.8943012000002</v>
      </c>
      <c r="AG52" s="479">
        <f t="shared" si="8"/>
        <v>-70.812151680000056</v>
      </c>
      <c r="AH52" s="506">
        <f t="shared" si="7"/>
        <v>22.8</v>
      </c>
      <c r="AI52" s="480">
        <f t="shared" si="9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3"/>
      <c r="AD53" s="472">
        <v>13</v>
      </c>
      <c r="AE53" s="473"/>
      <c r="AF53" s="502">
        <v>759.75537740000027</v>
      </c>
      <c r="AG53" s="479">
        <f t="shared" si="8"/>
        <v>-81.13892379999993</v>
      </c>
      <c r="AH53" s="506">
        <f t="shared" si="7"/>
        <v>20.6</v>
      </c>
      <c r="AI53" s="480">
        <f t="shared" si="9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3"/>
      <c r="AD54" s="472">
        <v>14</v>
      </c>
      <c r="AE54" s="473"/>
      <c r="AF54" s="502">
        <v>672.71544096000025</v>
      </c>
      <c r="AG54" s="479">
        <f t="shared" si="8"/>
        <v>-87.03993644000002</v>
      </c>
      <c r="AH54" s="475">
        <f t="shared" si="7"/>
        <v>18.240000000000002</v>
      </c>
      <c r="AI54" s="480">
        <f t="shared" si="9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3"/>
      <c r="AD55" s="483">
        <v>15</v>
      </c>
      <c r="AE55" s="484"/>
      <c r="AF55" s="510">
        <v>607.80430192000017</v>
      </c>
      <c r="AG55" s="485">
        <f t="shared" si="8"/>
        <v>-64.91113904000008</v>
      </c>
      <c r="AH55" s="486">
        <f t="shared" si="7"/>
        <v>16.48</v>
      </c>
      <c r="AI55" s="487">
        <f t="shared" si="9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3"/>
      <c r="AG56" s="453"/>
    </row>
    <row r="57" spans="29:40" x14ac:dyDescent="0.25">
      <c r="AC57" s="1193"/>
      <c r="AD57" s="425" t="s">
        <v>426</v>
      </c>
      <c r="AE57" s="492"/>
      <c r="AF57" s="492"/>
      <c r="AG57" s="493"/>
      <c r="AH57" s="494"/>
    </row>
    <row r="58" spans="29:40" x14ac:dyDescent="0.25">
      <c r="AC58" s="1193"/>
      <c r="AD58" s="495" t="s">
        <v>419</v>
      </c>
      <c r="AE58" s="1198" t="s">
        <v>427</v>
      </c>
      <c r="AF58" s="1198"/>
      <c r="AG58" s="1198"/>
      <c r="AH58" s="1200"/>
      <c r="AN58" s="515" t="s">
        <v>241</v>
      </c>
    </row>
    <row r="59" spans="29:40" x14ac:dyDescent="0.25">
      <c r="AC59" s="1193"/>
      <c r="AD59" s="495">
        <v>1</v>
      </c>
      <c r="AE59" s="1197">
        <v>47.4</v>
      </c>
      <c r="AF59" s="1198"/>
      <c r="AG59" s="1198"/>
      <c r="AH59" s="1200"/>
      <c r="AI59" s="380" t="s">
        <v>663</v>
      </c>
    </row>
    <row r="60" spans="29:40" x14ac:dyDescent="0.25">
      <c r="AC60" s="1193"/>
      <c r="AD60" s="513">
        <v>2</v>
      </c>
      <c r="AE60" s="1216">
        <v>42.7</v>
      </c>
      <c r="AF60" s="1217"/>
      <c r="AG60" s="1217"/>
      <c r="AH60" s="1218"/>
      <c r="AI60" s="380" t="s">
        <v>435</v>
      </c>
    </row>
    <row r="61" spans="29:40" x14ac:dyDescent="0.25">
      <c r="AC61" s="1193"/>
      <c r="AD61" s="496">
        <v>3</v>
      </c>
      <c r="AE61" s="1219">
        <v>38</v>
      </c>
      <c r="AF61" s="1205"/>
      <c r="AG61" s="1205"/>
      <c r="AH61" s="1206"/>
      <c r="AI61" s="380" t="s">
        <v>437</v>
      </c>
    </row>
    <row r="62" spans="29:40" x14ac:dyDescent="0.25">
      <c r="AC62" s="1193"/>
      <c r="AD62" s="496">
        <v>4</v>
      </c>
      <c r="AE62" s="1201">
        <v>22.8</v>
      </c>
      <c r="AF62" s="1202"/>
      <c r="AG62" s="1202"/>
      <c r="AH62" s="1204"/>
      <c r="AI62" s="380" t="s">
        <v>436</v>
      </c>
    </row>
    <row r="63" spans="29:40" ht="15.75" thickBot="1" x14ac:dyDescent="0.3">
      <c r="AC63" s="1193"/>
      <c r="AD63" s="514">
        <v>5</v>
      </c>
      <c r="AE63" s="1220">
        <v>20.6</v>
      </c>
      <c r="AF63" s="1221"/>
      <c r="AG63" s="1221"/>
      <c r="AH63" s="1222"/>
      <c r="AI63" s="380" t="s">
        <v>438</v>
      </c>
    </row>
    <row r="65" spans="30:30" x14ac:dyDescent="0.25">
      <c r="AD65" s="84"/>
    </row>
  </sheetData>
  <mergeCells count="23">
    <mergeCell ref="AI20:AL20"/>
    <mergeCell ref="AE21:AH21"/>
    <mergeCell ref="AI21:AL21"/>
    <mergeCell ref="AI17:AL17"/>
    <mergeCell ref="AE18:AH18"/>
    <mergeCell ref="AI18:AL18"/>
    <mergeCell ref="AE19:AH19"/>
    <mergeCell ref="AI19:AL19"/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</mergeCells>
  <conditionalFormatting sqref="C9:H2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 codeName="Sheet16">
    <pageSetUpPr fitToPage="1"/>
  </sheetPr>
  <dimension ref="B1:X36"/>
  <sheetViews>
    <sheetView showGridLines="0" zoomScaleNormal="100" workbookViewId="0">
      <selection activeCell="H29" sqref="H29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74" t="s">
        <v>577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780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90" t="s">
        <v>26</v>
      </c>
      <c r="C13" s="733">
        <v>127</v>
      </c>
      <c r="D13" s="692">
        <v>193</v>
      </c>
      <c r="E13" s="692" t="s">
        <v>217</v>
      </c>
      <c r="F13" s="692">
        <v>1</v>
      </c>
      <c r="G13" s="693">
        <v>0.8</v>
      </c>
      <c r="H13" s="694">
        <f t="shared" si="0"/>
        <v>123.52000000000002</v>
      </c>
      <c r="I13" s="695">
        <f>($O$7/G13/2)/D13</f>
        <v>13.080529468911918</v>
      </c>
      <c r="J13" s="696">
        <f>$O$10-(C13-I13)</f>
        <v>14.056529468911918</v>
      </c>
      <c r="K13" s="696">
        <v>5</v>
      </c>
      <c r="L13" s="697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2" si="8">D20*G20^2</f>
        <v>78.720000000000013</v>
      </c>
      <c r="I20" s="306">
        <f t="shared" ref="I20:I32" si="9">($O$8/G20/2)/D20</f>
        <v>25.584260670731705</v>
      </c>
      <c r="J20" s="314">
        <f t="shared" ref="J20:J32" si="10">$O$11-(C20-I20)</f>
        <v>20.447260670731708</v>
      </c>
      <c r="K20" s="314">
        <v>5</v>
      </c>
      <c r="L20" s="307">
        <f t="shared" ref="L20:L32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78"/>
      <c r="O26" s="78"/>
      <c r="P26" s="78"/>
      <c r="Q26" s="78"/>
    </row>
    <row r="27" spans="2:17" x14ac:dyDescent="0.25">
      <c r="B27" s="690" t="s">
        <v>27</v>
      </c>
      <c r="C27" s="691">
        <v>152</v>
      </c>
      <c r="D27" s="692">
        <v>193</v>
      </c>
      <c r="E27" s="692" t="s">
        <v>234</v>
      </c>
      <c r="F27" s="692">
        <v>1</v>
      </c>
      <c r="G27" s="693">
        <v>0.8</v>
      </c>
      <c r="H27" s="694">
        <f t="shared" si="8"/>
        <v>123.52000000000002</v>
      </c>
      <c r="I27" s="695">
        <f t="shared" si="9"/>
        <v>16.304995142487044</v>
      </c>
      <c r="J27" s="696">
        <f t="shared" si="10"/>
        <v>11.16799514248703</v>
      </c>
      <c r="K27" s="696">
        <v>5</v>
      </c>
      <c r="L27" s="697">
        <f t="shared" si="11"/>
        <v>6.1679951424870296</v>
      </c>
      <c r="M27" s="78"/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490">
        <f>J27-J28</f>
        <v>1.3199281782013088</v>
      </c>
      <c r="N28" s="78"/>
      <c r="O28" s="78"/>
      <c r="P28" s="78"/>
      <c r="Q28" s="78"/>
    </row>
    <row r="29" spans="2:17" s="380" customFormat="1" x14ac:dyDescent="0.25">
      <c r="B29" s="272" t="s">
        <v>27</v>
      </c>
      <c r="C29" s="282">
        <v>152</v>
      </c>
      <c r="D29" s="273">
        <v>236</v>
      </c>
      <c r="E29" s="273" t="s">
        <v>828</v>
      </c>
      <c r="F29" s="273">
        <v>2</v>
      </c>
      <c r="G29" s="274">
        <v>0.8</v>
      </c>
      <c r="H29" s="275">
        <f t="shared" ref="H29" si="12">D29*G29^2</f>
        <v>151.04000000000002</v>
      </c>
      <c r="I29" s="276">
        <f t="shared" ref="I29" si="13">($O$8/G29/2)/D29</f>
        <v>13.334169756355932</v>
      </c>
      <c r="J29" s="311">
        <f t="shared" ref="J29" si="14">$O$11-(C29-I29)</f>
        <v>8.1971697563559189</v>
      </c>
      <c r="K29" s="311">
        <v>6</v>
      </c>
      <c r="L29" s="277">
        <f t="shared" ref="L29" si="15">J29-K29</f>
        <v>2.1971697563559189</v>
      </c>
      <c r="M29" s="490">
        <f>J28-J29</f>
        <v>1.6508972079298019</v>
      </c>
    </row>
    <row r="30" spans="2:17" x14ac:dyDescent="0.25">
      <c r="B30" s="272" t="s">
        <v>27</v>
      </c>
      <c r="C30" s="282">
        <v>152</v>
      </c>
      <c r="D30" s="273">
        <v>245</v>
      </c>
      <c r="E30" s="273" t="s">
        <v>236</v>
      </c>
      <c r="F30" s="273">
        <v>2</v>
      </c>
      <c r="G30" s="274">
        <v>0.8</v>
      </c>
      <c r="H30" s="275">
        <f t="shared" si="8"/>
        <v>156.80000000000004</v>
      </c>
      <c r="I30" s="276">
        <f t="shared" si="9"/>
        <v>12.844343112244896</v>
      </c>
      <c r="J30" s="311">
        <f t="shared" si="10"/>
        <v>7.7073431122448994</v>
      </c>
      <c r="K30" s="311">
        <v>0</v>
      </c>
      <c r="L30" s="277">
        <f t="shared" si="11"/>
        <v>7.7073431122448994</v>
      </c>
      <c r="M30" s="78"/>
      <c r="N30" s="78"/>
      <c r="O30" s="78"/>
      <c r="P30" s="78"/>
      <c r="Q30" s="78"/>
    </row>
    <row r="31" spans="2:17" x14ac:dyDescent="0.25">
      <c r="B31" s="272" t="s">
        <v>27</v>
      </c>
      <c r="C31" s="282">
        <v>152</v>
      </c>
      <c r="D31" s="273">
        <v>280</v>
      </c>
      <c r="E31" s="273" t="s">
        <v>237</v>
      </c>
      <c r="F31" s="273">
        <v>2</v>
      </c>
      <c r="G31" s="274">
        <v>0.8</v>
      </c>
      <c r="H31" s="275">
        <f t="shared" si="8"/>
        <v>179.20000000000005</v>
      </c>
      <c r="I31" s="276">
        <f t="shared" si="9"/>
        <v>11.238800223214286</v>
      </c>
      <c r="J31" s="311">
        <f t="shared" si="10"/>
        <v>6.1018002232142976</v>
      </c>
      <c r="K31" s="311">
        <v>0</v>
      </c>
      <c r="L31" s="277">
        <f t="shared" si="11"/>
        <v>6.1018002232142976</v>
      </c>
      <c r="M31" s="78"/>
      <c r="N31" s="78"/>
      <c r="O31" s="78"/>
      <c r="P31" s="78"/>
      <c r="Q31" s="78"/>
    </row>
    <row r="32" spans="2:17" ht="15.75" thickBot="1" x14ac:dyDescent="0.3">
      <c r="B32" s="283" t="s">
        <v>27</v>
      </c>
      <c r="C32" s="284">
        <v>152</v>
      </c>
      <c r="D32" s="285">
        <v>315</v>
      </c>
      <c r="E32" s="285" t="s">
        <v>238</v>
      </c>
      <c r="F32" s="285">
        <v>2</v>
      </c>
      <c r="G32" s="286">
        <v>0.8</v>
      </c>
      <c r="H32" s="287">
        <f t="shared" si="8"/>
        <v>201.60000000000005</v>
      </c>
      <c r="I32" s="288">
        <f t="shared" si="9"/>
        <v>9.9900446428571428</v>
      </c>
      <c r="J32" s="316">
        <f t="shared" si="10"/>
        <v>4.8530446428571281</v>
      </c>
      <c r="K32" s="316">
        <v>0</v>
      </c>
      <c r="L32" s="289">
        <f t="shared" si="11"/>
        <v>4.8530446428571281</v>
      </c>
    </row>
    <row r="36" spans="12:12" x14ac:dyDescent="0.25">
      <c r="L36" s="453">
        <f>H28-H25</f>
        <v>28.160000000000011</v>
      </c>
    </row>
  </sheetData>
  <phoneticPr fontId="34" type="noConversion"/>
  <conditionalFormatting sqref="F19:F32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sheetPr codeName="Sheet17"/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1226" t="s">
        <v>245</v>
      </c>
      <c r="W2" s="1226"/>
      <c r="X2" s="1226"/>
      <c r="Y2" s="1226"/>
      <c r="Z2" s="1226"/>
      <c r="AA2" s="1226"/>
      <c r="AB2" s="1226"/>
      <c r="AC2" s="1226"/>
      <c r="AD2" s="1226"/>
      <c r="AE2" s="1226"/>
      <c r="AF2" s="1226"/>
      <c r="AG2" s="1226"/>
    </row>
    <row r="3" spans="2:33" x14ac:dyDescent="0.25">
      <c r="B3" t="s">
        <v>54</v>
      </c>
    </row>
    <row r="4" spans="2:33" x14ac:dyDescent="0.25">
      <c r="V4" s="322" t="s">
        <v>243</v>
      </c>
      <c r="W4" s="1227" t="s">
        <v>246</v>
      </c>
      <c r="X4" s="1227"/>
      <c r="Y4" s="1227"/>
      <c r="Z4" s="1227"/>
      <c r="AA4" s="1227"/>
      <c r="AB4" s="1227"/>
      <c r="AC4" s="1227"/>
      <c r="AD4" s="1227"/>
      <c r="AE4" s="1227"/>
      <c r="AF4" s="1227"/>
      <c r="AG4" s="1228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1223" t="s">
        <v>239</v>
      </c>
      <c r="D6" s="1224"/>
      <c r="E6" s="1224"/>
      <c r="F6" s="1224"/>
      <c r="G6" s="1224"/>
      <c r="H6" s="1225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227" t="s">
        <v>246</v>
      </c>
      <c r="X18" s="1227"/>
      <c r="Y18" s="1227"/>
      <c r="Z18" s="1227"/>
      <c r="AA18" s="1227"/>
      <c r="AB18" s="1227"/>
      <c r="AC18" s="1227"/>
      <c r="AD18" s="1227"/>
      <c r="AE18" s="1227"/>
      <c r="AF18" s="1227"/>
      <c r="AG18" s="1228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 codeName="Sheet18">
    <pageSetUpPr fitToPage="1"/>
  </sheetPr>
  <dimension ref="A1:I67"/>
  <sheetViews>
    <sheetView showGridLines="0" zoomScaleNormal="100" workbookViewId="0">
      <selection activeCell="G6" sqref="G6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sheetPr codeName="Sheet19"/>
  <dimension ref="B1:S37"/>
  <sheetViews>
    <sheetView showGridLines="0" topLeftCell="A28" zoomScale="85" zoomScaleNormal="85" workbookViewId="0">
      <selection activeCell="T33" sqref="T33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1229" t="s">
        <v>135</v>
      </c>
      <c r="H2" s="1230"/>
      <c r="I2" s="1230"/>
      <c r="J2" s="1230"/>
      <c r="K2" s="1230"/>
      <c r="L2" s="1230"/>
      <c r="M2" s="1230"/>
      <c r="N2" s="1230"/>
      <c r="O2" s="1230"/>
      <c r="P2" s="1230"/>
      <c r="Q2" s="1231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32" t="s">
        <v>177</v>
      </c>
      <c r="H4" s="1233"/>
      <c r="I4" s="1234"/>
      <c r="J4" s="381"/>
      <c r="K4" s="381"/>
      <c r="L4" s="381"/>
      <c r="M4" s="1232" t="s">
        <v>179</v>
      </c>
      <c r="N4" s="1233"/>
      <c r="O4" s="1233"/>
      <c r="P4" s="1233"/>
      <c r="Q4" s="1234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610</v>
      </c>
    </row>
    <row r="16" spans="2:19" x14ac:dyDescent="0.25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666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901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901">
        <v>0.8</v>
      </c>
      <c r="D22" s="554">
        <f t="shared" ref="D22:D27" si="0">1-C22</f>
        <v>0.19999999999999996</v>
      </c>
      <c r="E22" s="561"/>
      <c r="G22" s="1237" t="s">
        <v>178</v>
      </c>
      <c r="H22" s="1238"/>
      <c r="I22" s="1239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901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240">
        <f>N21/(N21+O21)</f>
        <v>0.50054767303688963</v>
      </c>
      <c r="O23" s="1240"/>
      <c r="P23" s="724" t="s">
        <v>184</v>
      </c>
      <c r="Q23" s="87"/>
      <c r="S23">
        <v>1282</v>
      </c>
    </row>
    <row r="24" spans="2:19" x14ac:dyDescent="0.25">
      <c r="B24" s="552" t="s">
        <v>438</v>
      </c>
      <c r="C24" s="901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235">
        <v>3.6</v>
      </c>
      <c r="O24" s="1235"/>
      <c r="P24" s="724" t="s">
        <v>184</v>
      </c>
      <c r="Q24" s="87"/>
      <c r="S24">
        <v>1124</v>
      </c>
    </row>
    <row r="25" spans="2:19" x14ac:dyDescent="0.25">
      <c r="B25" s="552" t="s">
        <v>441</v>
      </c>
      <c r="C25" s="901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236">
        <f>(N21+O21)/N24</f>
        <v>1217.6368519453511</v>
      </c>
      <c r="O25" s="1236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901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665</v>
      </c>
      <c r="C27" s="901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902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666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74" t="s">
        <v>667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sheetPr codeName="Sheet20"/>
  <dimension ref="B1:AG42"/>
  <sheetViews>
    <sheetView showGridLines="0" topLeftCell="A7" zoomScaleNormal="100" workbookViewId="0">
      <selection activeCell="C35" sqref="C35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241" t="s">
        <v>109</v>
      </c>
      <c r="C2" s="1242"/>
      <c r="D2" s="1242"/>
      <c r="E2" s="1242"/>
      <c r="F2" s="1242"/>
      <c r="G2" s="1242"/>
      <c r="H2" s="1242"/>
      <c r="I2" s="1242"/>
      <c r="J2" s="1242"/>
      <c r="K2" s="1242"/>
      <c r="L2" s="1242"/>
      <c r="M2" s="1242"/>
      <c r="N2" s="1243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244" t="s">
        <v>115</v>
      </c>
      <c r="AA2" s="1245"/>
      <c r="AC2" s="1246" t="s">
        <v>116</v>
      </c>
      <c r="AD2" s="1247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 spans="2:25" x14ac:dyDescent="0.25">
      <c r="C34" s="1047" t="s">
        <v>817</v>
      </c>
      <c r="D34" s="1047" t="s">
        <v>818</v>
      </c>
    </row>
    <row r="35" spans="2:25" x14ac:dyDescent="0.25">
      <c r="C35" s="1048">
        <f>1/C11</f>
        <v>0.35135135135135132</v>
      </c>
      <c r="D35" s="1048">
        <f>1/D11</f>
        <v>0.35137034434293746</v>
      </c>
    </row>
    <row r="36" spans="2:25" x14ac:dyDescent="0.25">
      <c r="C36" s="1048">
        <f t="shared" ref="C36:D41" si="9">1/C12</f>
        <v>0.45454545454545453</v>
      </c>
      <c r="D36" s="1048">
        <f t="shared" si="9"/>
        <v>0.45454545454545453</v>
      </c>
    </row>
    <row r="37" spans="2:25" x14ac:dyDescent="0.25">
      <c r="C37" s="1048">
        <f t="shared" si="9"/>
        <v>0.55555555555555558</v>
      </c>
      <c r="D37" s="1048">
        <f t="shared" si="9"/>
        <v>0.55555555555555558</v>
      </c>
    </row>
    <row r="38" spans="2:25" x14ac:dyDescent="0.25">
      <c r="C38" s="1048">
        <f t="shared" si="9"/>
        <v>0.6785714285714286</v>
      </c>
      <c r="D38" s="1048">
        <f t="shared" si="9"/>
        <v>0.65402223675604976</v>
      </c>
    </row>
    <row r="39" spans="2:25" x14ac:dyDescent="0.25">
      <c r="C39" s="1048">
        <f t="shared" si="9"/>
        <v>0.80769230769230771</v>
      </c>
      <c r="D39" s="1048">
        <f t="shared" si="9"/>
        <v>0.75987841945288748</v>
      </c>
    </row>
    <row r="40" spans="2:25" x14ac:dyDescent="0.25">
      <c r="C40" s="1048">
        <f t="shared" si="9"/>
        <v>0.92</v>
      </c>
      <c r="D40" s="1048">
        <f t="shared" si="9"/>
        <v>0.86956521739130443</v>
      </c>
    </row>
    <row r="41" spans="2:25" x14ac:dyDescent="0.25">
      <c r="C41" s="1048">
        <f t="shared" si="9"/>
        <v>1.0434782608695652</v>
      </c>
      <c r="D41" s="1048">
        <f t="shared" si="9"/>
        <v>1</v>
      </c>
    </row>
    <row r="42" spans="2:25" x14ac:dyDescent="0.25">
      <c r="C42" s="380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sheetPr codeName="Sheet21"/>
  <dimension ref="B2:AW68"/>
  <sheetViews>
    <sheetView showGridLines="0" zoomScaleNormal="100" workbookViewId="0">
      <selection activeCell="F10" sqref="F10"/>
    </sheetView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sheetPr codeName="Sheet22"/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sheetPr codeName="Sheet23"/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 codeName="Sheet24"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248" t="s">
        <v>13</v>
      </c>
      <c r="C2" s="1249"/>
      <c r="D2" s="1249"/>
      <c r="E2" s="1249"/>
      <c r="F2" s="1250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248" t="s">
        <v>17</v>
      </c>
      <c r="C16" s="1249"/>
      <c r="D16" s="1249"/>
      <c r="E16" s="1249"/>
      <c r="F16" s="1249"/>
      <c r="G16" s="1249"/>
      <c r="H16" s="1250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sheetPr codeName="Sheet25"/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sheetPr codeName="Sheet26"/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sheetPr codeName="Sheet27"/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sheetPr codeName="Sheet28"/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sheetPr codeName="Sheet29"/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241" t="s">
        <v>109</v>
      </c>
      <c r="C2" s="1242"/>
      <c r="D2" s="1242"/>
      <c r="E2" s="1242"/>
      <c r="F2" s="1242"/>
      <c r="G2" s="1242"/>
      <c r="H2" s="1242"/>
      <c r="I2" s="1242"/>
      <c r="J2" s="1242"/>
      <c r="K2" s="1242"/>
      <c r="L2" s="1242"/>
      <c r="M2" s="1242"/>
      <c r="N2" s="1243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sheetPr codeName="Sheet30"/>
  <dimension ref="B2:O31"/>
  <sheetViews>
    <sheetView zoomScaleNormal="100" workbookViewId="0">
      <selection activeCell="G21" sqref="G21"/>
    </sheetView>
  </sheetViews>
  <sheetFormatPr defaultColWidth="9.140625"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88"/>
      <c r="C2" s="791" t="s">
        <v>504</v>
      </c>
      <c r="D2" s="171"/>
      <c r="E2" s="171"/>
      <c r="F2" s="171"/>
      <c r="G2" s="791" t="s">
        <v>596</v>
      </c>
      <c r="H2" s="171"/>
      <c r="I2" s="171"/>
      <c r="J2" s="792"/>
      <c r="L2" s="793">
        <v>44289</v>
      </c>
    </row>
    <row r="3" spans="2:15" x14ac:dyDescent="0.25">
      <c r="B3" s="670" t="s">
        <v>254</v>
      </c>
      <c r="C3" s="94" t="s">
        <v>537</v>
      </c>
      <c r="D3" s="381" t="s">
        <v>538</v>
      </c>
      <c r="E3" s="381" t="s">
        <v>539</v>
      </c>
      <c r="F3" s="381" t="s">
        <v>540</v>
      </c>
      <c r="G3" s="94" t="s">
        <v>537</v>
      </c>
      <c r="H3" s="381" t="s">
        <v>538</v>
      </c>
      <c r="I3" s="381" t="s">
        <v>539</v>
      </c>
      <c r="J3" s="382" t="s">
        <v>540</v>
      </c>
      <c r="L3" t="s">
        <v>600</v>
      </c>
    </row>
    <row r="4" spans="2:15" x14ac:dyDescent="0.25">
      <c r="B4" s="670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90">
        <v>-1300</v>
      </c>
      <c r="L4" t="s">
        <v>601</v>
      </c>
    </row>
    <row r="5" spans="2:15" x14ac:dyDescent="0.25">
      <c r="B5" s="670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90">
        <v>-130</v>
      </c>
      <c r="L5" t="s">
        <v>602</v>
      </c>
    </row>
    <row r="6" spans="2:15" x14ac:dyDescent="0.25">
      <c r="B6" s="670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90">
        <v>330</v>
      </c>
    </row>
    <row r="7" spans="2:15" x14ac:dyDescent="0.25">
      <c r="B7" s="670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90">
        <v>1240</v>
      </c>
      <c r="L7" t="s">
        <v>603</v>
      </c>
      <c r="M7">
        <f>C11+D11+E11+F11</f>
        <v>1158.5</v>
      </c>
      <c r="N7" t="s">
        <v>198</v>
      </c>
      <c r="O7" t="s">
        <v>605</v>
      </c>
    </row>
    <row r="8" spans="2:15" x14ac:dyDescent="0.25">
      <c r="B8" s="670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90">
        <v>2110</v>
      </c>
      <c r="L8" t="s">
        <v>604</v>
      </c>
      <c r="M8" s="454">
        <f>SUM(C11:D11)/SUM(C11:F11)</f>
        <v>0.43763487268018991</v>
      </c>
    </row>
    <row r="9" spans="2:15" x14ac:dyDescent="0.25">
      <c r="B9" s="670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90">
        <v>2870</v>
      </c>
    </row>
    <row r="10" spans="2:15" x14ac:dyDescent="0.25">
      <c r="B10" s="670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90">
        <v>4050</v>
      </c>
    </row>
    <row r="11" spans="2:15" x14ac:dyDescent="0.25">
      <c r="B11" s="670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90">
        <v>5480</v>
      </c>
    </row>
    <row r="12" spans="2:15" x14ac:dyDescent="0.25">
      <c r="B12" s="670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70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70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70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72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88"/>
      <c r="C19" s="80" t="s">
        <v>599</v>
      </c>
      <c r="D19" s="172"/>
      <c r="E19" s="172"/>
      <c r="F19" s="172"/>
      <c r="G19" s="80" t="s">
        <v>598</v>
      </c>
      <c r="H19" s="172"/>
      <c r="I19" s="789"/>
    </row>
    <row r="20" spans="2:10" s="380" customFormat="1" x14ac:dyDescent="0.25">
      <c r="B20" s="670"/>
      <c r="C20" s="381" t="s">
        <v>139</v>
      </c>
      <c r="D20" s="381" t="s">
        <v>597</v>
      </c>
      <c r="E20" s="381"/>
      <c r="F20" s="381"/>
      <c r="G20" s="381" t="s">
        <v>139</v>
      </c>
      <c r="H20" s="381" t="s">
        <v>597</v>
      </c>
      <c r="I20" s="790"/>
    </row>
    <row r="21" spans="2:10" x14ac:dyDescent="0.25">
      <c r="B21" s="670" t="s">
        <v>537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807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70" t="s">
        <v>538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70" t="s">
        <v>539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807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72" t="s">
        <v>540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sheetPr codeName="Sheet31"/>
  <dimension ref="B1:W26"/>
  <sheetViews>
    <sheetView zoomScaleNormal="100"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594</v>
      </c>
      <c r="H2" t="s">
        <v>595</v>
      </c>
      <c r="J2" t="s">
        <v>608</v>
      </c>
      <c r="K2" t="s">
        <v>609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  <c r="J3" s="786">
        <v>0</v>
      </c>
      <c r="K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  <c r="J4" s="786">
        <v>2</v>
      </c>
      <c r="K4" s="786">
        <v>2</v>
      </c>
    </row>
    <row r="5" spans="2:18" s="380" customFormat="1" x14ac:dyDescent="0.25">
      <c r="B5" s="785" t="s">
        <v>593</v>
      </c>
      <c r="C5" s="786">
        <v>10</v>
      </c>
      <c r="F5" s="786">
        <v>20</v>
      </c>
      <c r="H5" s="786">
        <v>20</v>
      </c>
      <c r="J5" s="786">
        <v>10</v>
      </c>
      <c r="K5" s="786">
        <v>10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  <c r="J6" s="786">
        <v>1</v>
      </c>
      <c r="K6" s="786">
        <v>1</v>
      </c>
    </row>
    <row r="7" spans="2:18" x14ac:dyDescent="0.25">
      <c r="B7" s="785" t="s">
        <v>587</v>
      </c>
      <c r="C7" s="786">
        <v>2</v>
      </c>
      <c r="F7" s="786">
        <v>1</v>
      </c>
      <c r="H7" s="786">
        <v>1</v>
      </c>
      <c r="J7" s="786">
        <v>1.5</v>
      </c>
      <c r="K7" s="786">
        <v>2</v>
      </c>
    </row>
    <row r="8" spans="2:18" s="380" customFormat="1" x14ac:dyDescent="0.25">
      <c r="B8" s="785" t="s">
        <v>607</v>
      </c>
      <c r="C8" s="786">
        <v>4</v>
      </c>
      <c r="F8" s="786"/>
      <c r="H8" s="786"/>
      <c r="J8" s="786">
        <v>3</v>
      </c>
      <c r="K8" s="786">
        <v>4</v>
      </c>
    </row>
    <row r="10" spans="2:18" x14ac:dyDescent="0.25">
      <c r="B10" s="785" t="s">
        <v>589</v>
      </c>
      <c r="C10" s="782" t="s">
        <v>591</v>
      </c>
      <c r="D10" s="783"/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3"/>
      <c r="R10" s="783"/>
    </row>
    <row r="11" spans="2:18" x14ac:dyDescent="0.25">
      <c r="B11" s="780" t="s">
        <v>590</v>
      </c>
      <c r="C11" s="783">
        <v>0</v>
      </c>
      <c r="D11" s="783">
        <v>1000</v>
      </c>
      <c r="E11" s="783">
        <v>2000</v>
      </c>
      <c r="F11" s="783">
        <v>3000</v>
      </c>
      <c r="G11" s="783">
        <v>4000</v>
      </c>
      <c r="H11" s="783">
        <v>5000</v>
      </c>
      <c r="I11" s="783">
        <v>6000</v>
      </c>
      <c r="J11" s="783">
        <v>7000</v>
      </c>
      <c r="K11" s="783">
        <v>8000</v>
      </c>
      <c r="L11" s="783">
        <v>9000</v>
      </c>
      <c r="M11" s="783">
        <v>10000</v>
      </c>
      <c r="N11" s="783">
        <v>11000</v>
      </c>
      <c r="O11" s="783">
        <v>12000</v>
      </c>
      <c r="P11" s="783">
        <v>13000</v>
      </c>
      <c r="Q11" s="783">
        <v>14000</v>
      </c>
      <c r="R11" s="783">
        <v>15000</v>
      </c>
    </row>
    <row r="12" spans="2:18" x14ac:dyDescent="0.25">
      <c r="B12" s="781">
        <v>0</v>
      </c>
      <c r="C12" s="784">
        <v>0</v>
      </c>
      <c r="D12" s="784">
        <v>0</v>
      </c>
      <c r="E12" s="784">
        <v>0</v>
      </c>
      <c r="F12" s="784">
        <v>0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2000</v>
      </c>
      <c r="C13" s="784">
        <v>10</v>
      </c>
      <c r="D13" s="784">
        <v>8.5</v>
      </c>
      <c r="E13" s="784">
        <v>7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4000</v>
      </c>
      <c r="C14" s="784">
        <v>10</v>
      </c>
      <c r="D14" s="784">
        <v>10</v>
      </c>
      <c r="E14" s="784">
        <v>9.5</v>
      </c>
      <c r="F14" s="784">
        <v>8.5</v>
      </c>
      <c r="G14" s="784">
        <v>7.5</v>
      </c>
      <c r="H14" s="784">
        <v>5.5</v>
      </c>
      <c r="I14" s="784">
        <v>3.5</v>
      </c>
      <c r="J14" s="784">
        <v>2</v>
      </c>
      <c r="K14" s="784">
        <v>1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6000</v>
      </c>
      <c r="C15" s="784">
        <v>8.5</v>
      </c>
      <c r="D15" s="784">
        <v>8.5</v>
      </c>
      <c r="E15" s="784">
        <v>8.5</v>
      </c>
      <c r="F15" s="784">
        <v>8.5</v>
      </c>
      <c r="G15" s="784">
        <v>8</v>
      </c>
      <c r="H15" s="784">
        <v>7.5</v>
      </c>
      <c r="I15" s="784">
        <v>6.5</v>
      </c>
      <c r="J15" s="784">
        <v>5</v>
      </c>
      <c r="K15" s="784">
        <v>3.5</v>
      </c>
      <c r="L15" s="784">
        <v>2.5</v>
      </c>
      <c r="M15" s="784">
        <v>1.5</v>
      </c>
      <c r="N15" s="784">
        <v>0.5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8000</v>
      </c>
      <c r="C16" s="784">
        <v>7.5</v>
      </c>
      <c r="D16" s="784">
        <v>7.5</v>
      </c>
      <c r="E16" s="784">
        <v>7.5</v>
      </c>
      <c r="F16" s="784">
        <v>7</v>
      </c>
      <c r="G16" s="784">
        <v>7</v>
      </c>
      <c r="H16" s="784">
        <v>6.5</v>
      </c>
      <c r="I16" s="784">
        <v>6.5</v>
      </c>
      <c r="J16" s="784">
        <v>6</v>
      </c>
      <c r="K16" s="784">
        <v>5.5</v>
      </c>
      <c r="L16" s="784">
        <v>4.5</v>
      </c>
      <c r="M16" s="784">
        <v>3.5</v>
      </c>
      <c r="N16" s="784">
        <v>2.5</v>
      </c>
      <c r="O16" s="784">
        <v>1.5</v>
      </c>
      <c r="P16" s="784">
        <v>0.5</v>
      </c>
      <c r="Q16" s="784">
        <v>0</v>
      </c>
      <c r="R16" s="784">
        <v>0</v>
      </c>
    </row>
    <row r="17" spans="2:23" x14ac:dyDescent="0.25">
      <c r="B17" s="781">
        <v>10000</v>
      </c>
      <c r="C17" s="784">
        <v>6</v>
      </c>
      <c r="D17" s="784">
        <v>6</v>
      </c>
      <c r="E17" s="784">
        <v>6</v>
      </c>
      <c r="F17" s="784">
        <v>6</v>
      </c>
      <c r="G17" s="784">
        <v>6</v>
      </c>
      <c r="H17" s="784">
        <v>5.5</v>
      </c>
      <c r="I17" s="784">
        <v>5.5</v>
      </c>
      <c r="J17" s="784">
        <v>5.5</v>
      </c>
      <c r="K17" s="784">
        <v>5.5</v>
      </c>
      <c r="L17" s="784">
        <v>5</v>
      </c>
      <c r="M17" s="784">
        <v>4.5</v>
      </c>
      <c r="N17" s="784">
        <v>4</v>
      </c>
      <c r="O17" s="784">
        <v>3</v>
      </c>
      <c r="P17" s="784">
        <v>2</v>
      </c>
      <c r="Q17" s="784">
        <v>1.5</v>
      </c>
      <c r="R17" s="784">
        <v>1</v>
      </c>
    </row>
    <row r="19" spans="2:23" x14ac:dyDescent="0.25">
      <c r="B19" s="785" t="s">
        <v>592</v>
      </c>
      <c r="C19" s="782" t="s">
        <v>591</v>
      </c>
      <c r="D19" s="783"/>
      <c r="E19" s="783"/>
      <c r="F19" s="783"/>
      <c r="G19" s="783"/>
      <c r="H19" s="783"/>
      <c r="I19" s="783"/>
      <c r="J19" s="783"/>
      <c r="K19" s="783"/>
      <c r="L19" s="783"/>
      <c r="M19" s="783"/>
      <c r="N19" s="783"/>
      <c r="O19" s="783"/>
      <c r="P19" s="783"/>
      <c r="Q19" s="783"/>
      <c r="R19" s="783"/>
    </row>
    <row r="20" spans="2:23" x14ac:dyDescent="0.25">
      <c r="B20" s="780" t="s">
        <v>590</v>
      </c>
      <c r="C20" s="783">
        <v>0</v>
      </c>
      <c r="D20" s="783">
        <v>1000</v>
      </c>
      <c r="E20" s="783">
        <v>2000</v>
      </c>
      <c r="F20" s="783">
        <v>3000</v>
      </c>
      <c r="G20" s="783">
        <v>4000</v>
      </c>
      <c r="H20" s="783">
        <v>5000</v>
      </c>
      <c r="I20" s="783">
        <v>6000</v>
      </c>
      <c r="J20" s="783">
        <v>7000</v>
      </c>
      <c r="K20" s="783">
        <v>8000</v>
      </c>
      <c r="L20" s="783">
        <v>9000</v>
      </c>
      <c r="M20" s="783">
        <v>10000</v>
      </c>
      <c r="N20" s="783">
        <v>11000</v>
      </c>
      <c r="O20" s="783">
        <v>12000</v>
      </c>
      <c r="P20" s="783">
        <v>13000</v>
      </c>
      <c r="Q20" s="783">
        <v>14000</v>
      </c>
      <c r="R20" s="783">
        <v>15000</v>
      </c>
    </row>
    <row r="21" spans="2:23" x14ac:dyDescent="0.25">
      <c r="B21" s="781">
        <v>0</v>
      </c>
      <c r="C21" s="784">
        <f>MAX(MIN(MAX((C12+$C$3),$C$4)*(1+($B21/($B$26-$B$21)*($C$6-1)))*(1+(C$20/($R$20-$C$20)*($C$7-1))),$C$5),$C$8)</f>
        <v>4</v>
      </c>
      <c r="D21" s="784">
        <f t="shared" ref="D21:R21" si="0">MAX(MIN(MAX((D12+$C$3),$C$4)*(1+($B21/($B$26-$B$21)*($C$6-1)))*(1+(D$20/($R$20-$C$20)*($C$7-1))),$C$5),$C$8)</f>
        <v>4</v>
      </c>
      <c r="E21" s="784">
        <f t="shared" si="0"/>
        <v>4</v>
      </c>
      <c r="F21" s="784">
        <f t="shared" si="0"/>
        <v>4</v>
      </c>
      <c r="G21" s="784">
        <f t="shared" si="0"/>
        <v>4</v>
      </c>
      <c r="H21" s="784">
        <f t="shared" si="0"/>
        <v>4</v>
      </c>
      <c r="I21" s="784">
        <f t="shared" si="0"/>
        <v>4</v>
      </c>
      <c r="J21" s="784">
        <f t="shared" si="0"/>
        <v>4</v>
      </c>
      <c r="K21" s="784">
        <f t="shared" si="0"/>
        <v>4</v>
      </c>
      <c r="L21" s="784">
        <f t="shared" si="0"/>
        <v>4</v>
      </c>
      <c r="M21" s="784">
        <f t="shared" si="0"/>
        <v>4</v>
      </c>
      <c r="N21" s="784">
        <f t="shared" si="0"/>
        <v>4</v>
      </c>
      <c r="O21" s="784">
        <f t="shared" si="0"/>
        <v>4</v>
      </c>
      <c r="P21" s="784">
        <f t="shared" si="0"/>
        <v>4</v>
      </c>
      <c r="Q21" s="784">
        <f t="shared" si="0"/>
        <v>4</v>
      </c>
      <c r="R21" s="784">
        <f t="shared" si="0"/>
        <v>4</v>
      </c>
      <c r="S21" s="787"/>
    </row>
    <row r="22" spans="2:23" x14ac:dyDescent="0.25">
      <c r="B22" s="781">
        <v>2000</v>
      </c>
      <c r="C22" s="784">
        <f t="shared" ref="C22:R26" si="1">MAX(MIN(MAX((C13+$C$3),$C$4)*(1+($B22/($B$26-$B$21)*($C$6-1)))*(1+(C$20/($R$20-$C$20)*($C$7-1))),$C$5),$C$8)</f>
        <v>10</v>
      </c>
      <c r="D22" s="784">
        <f t="shared" si="1"/>
        <v>9.0666666666666664</v>
      </c>
      <c r="E22" s="784">
        <f t="shared" si="1"/>
        <v>7.9333333333333336</v>
      </c>
      <c r="F22" s="784">
        <f t="shared" si="1"/>
        <v>6</v>
      </c>
      <c r="G22" s="784">
        <f t="shared" si="1"/>
        <v>4</v>
      </c>
      <c r="H22" s="784">
        <f t="shared" si="1"/>
        <v>4</v>
      </c>
      <c r="I22" s="784">
        <f t="shared" si="1"/>
        <v>4</v>
      </c>
      <c r="J22" s="784">
        <f t="shared" si="1"/>
        <v>4</v>
      </c>
      <c r="K22" s="784">
        <f t="shared" si="1"/>
        <v>4</v>
      </c>
      <c r="L22" s="784">
        <f t="shared" si="1"/>
        <v>4</v>
      </c>
      <c r="M22" s="784">
        <f t="shared" si="1"/>
        <v>4</v>
      </c>
      <c r="N22" s="784">
        <f t="shared" si="1"/>
        <v>4</v>
      </c>
      <c r="O22" s="784">
        <f t="shared" si="1"/>
        <v>4</v>
      </c>
      <c r="P22" s="784">
        <f t="shared" si="1"/>
        <v>4</v>
      </c>
      <c r="Q22" s="784">
        <f t="shared" si="1"/>
        <v>4</v>
      </c>
      <c r="R22" s="784">
        <f t="shared" si="1"/>
        <v>4</v>
      </c>
      <c r="S22" s="787"/>
      <c r="T22" s="787"/>
      <c r="U22" s="787"/>
      <c r="V22" s="787"/>
      <c r="W22" s="787"/>
    </row>
    <row r="23" spans="2:23" x14ac:dyDescent="0.25">
      <c r="B23" s="781">
        <v>4000</v>
      </c>
      <c r="C23" s="784">
        <f t="shared" si="1"/>
        <v>10</v>
      </c>
      <c r="D23" s="784">
        <f t="shared" si="1"/>
        <v>10</v>
      </c>
      <c r="E23" s="784">
        <f t="shared" si="1"/>
        <v>10</v>
      </c>
      <c r="F23" s="784">
        <f t="shared" si="1"/>
        <v>10</v>
      </c>
      <c r="G23" s="784">
        <f t="shared" si="1"/>
        <v>9.5</v>
      </c>
      <c r="H23" s="784">
        <f t="shared" si="1"/>
        <v>7.333333333333333</v>
      </c>
      <c r="I23" s="784">
        <f t="shared" si="1"/>
        <v>4.8999999999999995</v>
      </c>
      <c r="J23" s="784">
        <f t="shared" si="1"/>
        <v>4</v>
      </c>
      <c r="K23" s="784">
        <f t="shared" si="1"/>
        <v>4</v>
      </c>
      <c r="L23" s="784">
        <f t="shared" si="1"/>
        <v>4</v>
      </c>
      <c r="M23" s="784">
        <f t="shared" si="1"/>
        <v>4</v>
      </c>
      <c r="N23" s="784">
        <f t="shared" si="1"/>
        <v>4</v>
      </c>
      <c r="O23" s="784">
        <f t="shared" si="1"/>
        <v>4</v>
      </c>
      <c r="P23" s="784">
        <f t="shared" si="1"/>
        <v>4</v>
      </c>
      <c r="Q23" s="784">
        <f t="shared" si="1"/>
        <v>4</v>
      </c>
      <c r="R23" s="784">
        <f t="shared" si="1"/>
        <v>4</v>
      </c>
      <c r="S23" s="787"/>
    </row>
    <row r="24" spans="2:23" x14ac:dyDescent="0.25">
      <c r="B24" s="781">
        <v>6000</v>
      </c>
      <c r="C24" s="784">
        <f t="shared" si="1"/>
        <v>8.5</v>
      </c>
      <c r="D24" s="784">
        <f t="shared" si="1"/>
        <v>9.0666666666666664</v>
      </c>
      <c r="E24" s="784">
        <f t="shared" si="1"/>
        <v>9.6333333333333329</v>
      </c>
      <c r="F24" s="784">
        <f t="shared" si="1"/>
        <v>10</v>
      </c>
      <c r="G24" s="784">
        <f t="shared" si="1"/>
        <v>10</v>
      </c>
      <c r="H24" s="784">
        <f t="shared" si="1"/>
        <v>10</v>
      </c>
      <c r="I24" s="784">
        <f t="shared" si="1"/>
        <v>9.1</v>
      </c>
      <c r="J24" s="784">
        <f t="shared" si="1"/>
        <v>7.3333333333333339</v>
      </c>
      <c r="K24" s="784">
        <f t="shared" si="1"/>
        <v>5.3666666666666663</v>
      </c>
      <c r="L24" s="784">
        <f t="shared" si="1"/>
        <v>4</v>
      </c>
      <c r="M24" s="784">
        <f t="shared" si="1"/>
        <v>4</v>
      </c>
      <c r="N24" s="784">
        <f t="shared" si="1"/>
        <v>4</v>
      </c>
      <c r="O24" s="784">
        <f t="shared" si="1"/>
        <v>4</v>
      </c>
      <c r="P24" s="784">
        <f t="shared" si="1"/>
        <v>4</v>
      </c>
      <c r="Q24" s="784">
        <f t="shared" si="1"/>
        <v>4</v>
      </c>
      <c r="R24" s="784">
        <f t="shared" si="1"/>
        <v>4</v>
      </c>
      <c r="S24" s="787"/>
    </row>
    <row r="25" spans="2:23" x14ac:dyDescent="0.25">
      <c r="B25" s="781">
        <v>8000</v>
      </c>
      <c r="C25" s="784">
        <f t="shared" si="1"/>
        <v>7.5</v>
      </c>
      <c r="D25" s="784">
        <f t="shared" si="1"/>
        <v>8</v>
      </c>
      <c r="E25" s="784">
        <f t="shared" si="1"/>
        <v>8.5</v>
      </c>
      <c r="F25" s="784">
        <f t="shared" si="1"/>
        <v>8.4</v>
      </c>
      <c r="G25" s="784">
        <f t="shared" si="1"/>
        <v>8.8666666666666671</v>
      </c>
      <c r="H25" s="784">
        <f t="shared" si="1"/>
        <v>8.6666666666666661</v>
      </c>
      <c r="I25" s="784">
        <f t="shared" si="1"/>
        <v>9.1</v>
      </c>
      <c r="J25" s="784">
        <f t="shared" si="1"/>
        <v>8.8000000000000007</v>
      </c>
      <c r="K25" s="784">
        <f t="shared" si="1"/>
        <v>8.4333333333333336</v>
      </c>
      <c r="L25" s="784">
        <f t="shared" si="1"/>
        <v>7.2</v>
      </c>
      <c r="M25" s="784">
        <f t="shared" si="1"/>
        <v>5.833333333333333</v>
      </c>
      <c r="N25" s="784">
        <f t="shared" si="1"/>
        <v>4.3333333333333339</v>
      </c>
      <c r="O25" s="784">
        <f t="shared" si="1"/>
        <v>4</v>
      </c>
      <c r="P25" s="784">
        <f t="shared" si="1"/>
        <v>4</v>
      </c>
      <c r="Q25" s="784">
        <f t="shared" si="1"/>
        <v>4</v>
      </c>
      <c r="R25" s="784">
        <f t="shared" si="1"/>
        <v>4</v>
      </c>
      <c r="S25" s="787"/>
    </row>
    <row r="26" spans="2:23" x14ac:dyDescent="0.25">
      <c r="B26" s="781">
        <v>10000</v>
      </c>
      <c r="C26" s="784">
        <f t="shared" si="1"/>
        <v>6</v>
      </c>
      <c r="D26" s="784">
        <f t="shared" si="1"/>
        <v>6.4</v>
      </c>
      <c r="E26" s="784">
        <f t="shared" si="1"/>
        <v>6.8</v>
      </c>
      <c r="F26" s="784">
        <f t="shared" si="1"/>
        <v>7.1999999999999993</v>
      </c>
      <c r="G26" s="784">
        <f t="shared" si="1"/>
        <v>7.6</v>
      </c>
      <c r="H26" s="784">
        <f t="shared" si="1"/>
        <v>7.333333333333333</v>
      </c>
      <c r="I26" s="784">
        <f t="shared" si="1"/>
        <v>7.6999999999999993</v>
      </c>
      <c r="J26" s="784">
        <f t="shared" si="1"/>
        <v>8.0666666666666664</v>
      </c>
      <c r="K26" s="784">
        <f t="shared" si="1"/>
        <v>8.4333333333333336</v>
      </c>
      <c r="L26" s="784">
        <f t="shared" si="1"/>
        <v>8</v>
      </c>
      <c r="M26" s="784">
        <f t="shared" si="1"/>
        <v>7.4999999999999991</v>
      </c>
      <c r="N26" s="784">
        <f t="shared" si="1"/>
        <v>6.9333333333333336</v>
      </c>
      <c r="O26" s="784">
        <f t="shared" si="1"/>
        <v>5.4</v>
      </c>
      <c r="P26" s="784">
        <f t="shared" si="1"/>
        <v>4</v>
      </c>
      <c r="Q26" s="784">
        <f t="shared" si="1"/>
        <v>4</v>
      </c>
      <c r="R26" s="784">
        <f t="shared" si="1"/>
        <v>4</v>
      </c>
      <c r="S26" s="787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sheetPr codeName="Sheet32"/>
  <dimension ref="B2:W25"/>
  <sheetViews>
    <sheetView zoomScaleNormal="100" workbookViewId="0">
      <selection activeCell="J29" sqref="J29"/>
    </sheetView>
  </sheetViews>
  <sheetFormatPr defaultColWidth="9.140625"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10</v>
      </c>
      <c r="D12" s="784">
        <v>8.5</v>
      </c>
      <c r="E12" s="784">
        <v>7</v>
      </c>
      <c r="F12" s="784">
        <v>5</v>
      </c>
      <c r="G12" s="784">
        <v>3</v>
      </c>
      <c r="H12" s="784">
        <v>1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10</v>
      </c>
      <c r="D13" s="784">
        <v>10</v>
      </c>
      <c r="E13" s="784">
        <v>9.5</v>
      </c>
      <c r="F13" s="784">
        <v>8.5</v>
      </c>
      <c r="G13" s="784">
        <v>7.5</v>
      </c>
      <c r="H13" s="784">
        <v>5.5</v>
      </c>
      <c r="I13" s="784">
        <v>3.5</v>
      </c>
      <c r="J13" s="784">
        <v>2</v>
      </c>
      <c r="K13" s="784">
        <v>1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8.5</v>
      </c>
      <c r="D14" s="784">
        <v>8.5</v>
      </c>
      <c r="E14" s="784">
        <v>8.5</v>
      </c>
      <c r="F14" s="784">
        <v>8.5</v>
      </c>
      <c r="G14" s="784">
        <v>8</v>
      </c>
      <c r="H14" s="784">
        <v>7.5</v>
      </c>
      <c r="I14" s="784">
        <v>6.5</v>
      </c>
      <c r="J14" s="784">
        <v>5</v>
      </c>
      <c r="K14" s="784">
        <v>3.5</v>
      </c>
      <c r="L14" s="784">
        <v>2.5</v>
      </c>
      <c r="M14" s="784">
        <v>1.5</v>
      </c>
      <c r="N14" s="784">
        <v>0.5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7.5</v>
      </c>
      <c r="D15" s="784">
        <v>7.5</v>
      </c>
      <c r="E15" s="784">
        <v>7.5</v>
      </c>
      <c r="F15" s="784">
        <v>7</v>
      </c>
      <c r="G15" s="784">
        <v>7</v>
      </c>
      <c r="H15" s="784">
        <v>6.5</v>
      </c>
      <c r="I15" s="784">
        <v>6.5</v>
      </c>
      <c r="J15" s="784">
        <v>6</v>
      </c>
      <c r="K15" s="784">
        <v>5.5</v>
      </c>
      <c r="L15" s="784">
        <v>4.5</v>
      </c>
      <c r="M15" s="784">
        <v>3.5</v>
      </c>
      <c r="N15" s="784">
        <v>2.5</v>
      </c>
      <c r="O15" s="784">
        <v>1.5</v>
      </c>
      <c r="P15" s="784">
        <v>0.5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6</v>
      </c>
      <c r="D16" s="784">
        <v>6</v>
      </c>
      <c r="E16" s="784">
        <v>6</v>
      </c>
      <c r="F16" s="784">
        <v>6</v>
      </c>
      <c r="G16" s="784">
        <v>6</v>
      </c>
      <c r="H16" s="784">
        <v>5.5</v>
      </c>
      <c r="I16" s="784">
        <v>5.5</v>
      </c>
      <c r="J16" s="784">
        <v>5.5</v>
      </c>
      <c r="K16" s="784">
        <v>5.5</v>
      </c>
      <c r="L16" s="784">
        <v>5</v>
      </c>
      <c r="M16" s="784">
        <v>4.5</v>
      </c>
      <c r="N16" s="784">
        <v>4</v>
      </c>
      <c r="O16" s="784">
        <v>3</v>
      </c>
      <c r="P16" s="784">
        <v>2</v>
      </c>
      <c r="Q16" s="784">
        <v>1.5</v>
      </c>
      <c r="R16" s="784">
        <v>1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10</v>
      </c>
      <c r="D21" s="784">
        <f t="shared" si="1"/>
        <v>8.5</v>
      </c>
      <c r="E21" s="784">
        <f t="shared" si="1"/>
        <v>7</v>
      </c>
      <c r="F21" s="784">
        <f t="shared" si="1"/>
        <v>5</v>
      </c>
      <c r="G21" s="784">
        <f t="shared" si="1"/>
        <v>3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10</v>
      </c>
      <c r="D22" s="784">
        <f t="shared" si="1"/>
        <v>10</v>
      </c>
      <c r="E22" s="784">
        <f t="shared" si="1"/>
        <v>9.5</v>
      </c>
      <c r="F22" s="784">
        <f t="shared" si="1"/>
        <v>8.5</v>
      </c>
      <c r="G22" s="784">
        <f t="shared" si="1"/>
        <v>7.5</v>
      </c>
      <c r="H22" s="784">
        <f t="shared" si="1"/>
        <v>5.5</v>
      </c>
      <c r="I22" s="784">
        <f t="shared" si="1"/>
        <v>3.5</v>
      </c>
      <c r="J22" s="784">
        <f t="shared" si="1"/>
        <v>2</v>
      </c>
      <c r="K22" s="784">
        <f t="shared" si="1"/>
        <v>2</v>
      </c>
      <c r="L22" s="79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8.5</v>
      </c>
      <c r="D23" s="784">
        <f t="shared" si="1"/>
        <v>8.5</v>
      </c>
      <c r="E23" s="784">
        <f t="shared" si="1"/>
        <v>8.5</v>
      </c>
      <c r="F23" s="784">
        <f t="shared" si="1"/>
        <v>8.5</v>
      </c>
      <c r="G23" s="784">
        <f t="shared" si="1"/>
        <v>8</v>
      </c>
      <c r="H23" s="784">
        <f t="shared" si="1"/>
        <v>7.5</v>
      </c>
      <c r="I23" s="784">
        <f t="shared" si="1"/>
        <v>6.5</v>
      </c>
      <c r="J23" s="784">
        <f t="shared" si="1"/>
        <v>5</v>
      </c>
      <c r="K23" s="784">
        <f t="shared" si="1"/>
        <v>3.5</v>
      </c>
      <c r="L23" s="794">
        <f t="shared" si="1"/>
        <v>2.5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7.5</v>
      </c>
      <c r="D24" s="784">
        <f t="shared" si="1"/>
        <v>7.5</v>
      </c>
      <c r="E24" s="784">
        <f t="shared" si="1"/>
        <v>7.5</v>
      </c>
      <c r="F24" s="784">
        <f t="shared" si="1"/>
        <v>7</v>
      </c>
      <c r="G24" s="784">
        <f t="shared" si="1"/>
        <v>7</v>
      </c>
      <c r="H24" s="784">
        <f t="shared" si="1"/>
        <v>6.5</v>
      </c>
      <c r="I24" s="784">
        <f t="shared" si="1"/>
        <v>6.5</v>
      </c>
      <c r="J24" s="784">
        <f t="shared" si="1"/>
        <v>6</v>
      </c>
      <c r="K24" s="784">
        <f t="shared" si="1"/>
        <v>5.5</v>
      </c>
      <c r="L24" s="784">
        <f t="shared" si="1"/>
        <v>4.5</v>
      </c>
      <c r="M24" s="784">
        <f t="shared" si="1"/>
        <v>3.5</v>
      </c>
      <c r="N24" s="784">
        <f t="shared" si="1"/>
        <v>2.5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6</v>
      </c>
      <c r="D25" s="784">
        <f t="shared" si="1"/>
        <v>6</v>
      </c>
      <c r="E25" s="784">
        <f t="shared" si="1"/>
        <v>6</v>
      </c>
      <c r="F25" s="784">
        <f t="shared" si="1"/>
        <v>6</v>
      </c>
      <c r="G25" s="784">
        <f t="shared" si="1"/>
        <v>6</v>
      </c>
      <c r="H25" s="784">
        <f t="shared" si="1"/>
        <v>5.5</v>
      </c>
      <c r="I25" s="784">
        <f t="shared" si="1"/>
        <v>5.5</v>
      </c>
      <c r="J25" s="784">
        <f t="shared" si="1"/>
        <v>5.5</v>
      </c>
      <c r="K25" s="784">
        <f t="shared" si="1"/>
        <v>5.5</v>
      </c>
      <c r="L25" s="784">
        <f t="shared" si="1"/>
        <v>5</v>
      </c>
      <c r="M25" s="784">
        <f t="shared" si="1"/>
        <v>4.5</v>
      </c>
      <c r="N25" s="784">
        <f t="shared" si="1"/>
        <v>4</v>
      </c>
      <c r="O25" s="784">
        <f t="shared" si="1"/>
        <v>3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sheetPr codeName="Sheet33"/>
  <dimension ref="B2:W25"/>
  <sheetViews>
    <sheetView zoomScaleNormal="100" workbookViewId="0">
      <selection activeCell="J29" sqref="J29"/>
    </sheetView>
  </sheetViews>
  <sheetFormatPr defaultColWidth="9.140625"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7</v>
      </c>
      <c r="D12" s="784">
        <v>6</v>
      </c>
      <c r="E12" s="784">
        <v>3.5</v>
      </c>
      <c r="F12" s="784">
        <v>1.5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7</v>
      </c>
      <c r="D13" s="784">
        <v>6.5</v>
      </c>
      <c r="E13" s="784">
        <v>6.5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6.5</v>
      </c>
      <c r="D14" s="784">
        <v>6.5</v>
      </c>
      <c r="E14" s="784">
        <v>6.5</v>
      </c>
      <c r="F14" s="784">
        <v>6</v>
      </c>
      <c r="G14" s="784">
        <v>5</v>
      </c>
      <c r="H14" s="784">
        <v>4</v>
      </c>
      <c r="I14" s="784">
        <v>2.5</v>
      </c>
      <c r="J14" s="784">
        <v>1</v>
      </c>
      <c r="K14" s="784">
        <v>0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5.5</v>
      </c>
      <c r="D15" s="784">
        <v>5.5</v>
      </c>
      <c r="E15" s="784">
        <v>5.5</v>
      </c>
      <c r="F15" s="784">
        <v>5.5</v>
      </c>
      <c r="G15" s="784">
        <v>5.5</v>
      </c>
      <c r="H15" s="784">
        <v>5</v>
      </c>
      <c r="I15" s="784">
        <v>4.5</v>
      </c>
      <c r="J15" s="784">
        <v>3</v>
      </c>
      <c r="K15" s="784">
        <v>1.5</v>
      </c>
      <c r="L15" s="784">
        <v>0.5</v>
      </c>
      <c r="M15" s="784">
        <v>0</v>
      </c>
      <c r="N15" s="784">
        <v>0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4.5</v>
      </c>
      <c r="D16" s="784">
        <v>4.5</v>
      </c>
      <c r="E16" s="784">
        <v>4.5</v>
      </c>
      <c r="F16" s="784">
        <v>4.5</v>
      </c>
      <c r="G16" s="784">
        <v>4.5</v>
      </c>
      <c r="H16" s="784">
        <v>4</v>
      </c>
      <c r="I16" s="784">
        <v>4</v>
      </c>
      <c r="J16" s="784">
        <v>3.5</v>
      </c>
      <c r="K16" s="784">
        <v>2.5</v>
      </c>
      <c r="L16" s="784">
        <v>1.5</v>
      </c>
      <c r="M16" s="784">
        <v>0.5</v>
      </c>
      <c r="N16" s="784">
        <v>0</v>
      </c>
      <c r="O16" s="784">
        <v>0</v>
      </c>
      <c r="P16" s="784">
        <v>0</v>
      </c>
      <c r="Q16" s="784">
        <v>0</v>
      </c>
      <c r="R16" s="784">
        <v>0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7</v>
      </c>
      <c r="D21" s="784">
        <f t="shared" si="1"/>
        <v>6</v>
      </c>
      <c r="E21" s="784">
        <f t="shared" si="1"/>
        <v>3.5</v>
      </c>
      <c r="F21" s="784">
        <f t="shared" si="1"/>
        <v>2</v>
      </c>
      <c r="G21" s="784">
        <f t="shared" si="1"/>
        <v>2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7</v>
      </c>
      <c r="D22" s="784">
        <f t="shared" si="1"/>
        <v>6.5</v>
      </c>
      <c r="E22" s="784">
        <f t="shared" si="1"/>
        <v>6.5</v>
      </c>
      <c r="F22" s="784">
        <f t="shared" si="1"/>
        <v>5</v>
      </c>
      <c r="G22" s="784">
        <f t="shared" si="1"/>
        <v>3</v>
      </c>
      <c r="H22" s="784">
        <f t="shared" si="1"/>
        <v>2</v>
      </c>
      <c r="I22" s="784">
        <f t="shared" si="1"/>
        <v>2</v>
      </c>
      <c r="J22" s="784">
        <f t="shared" si="1"/>
        <v>2</v>
      </c>
      <c r="K22" s="784">
        <f t="shared" si="1"/>
        <v>2</v>
      </c>
      <c r="L22" s="78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6.5</v>
      </c>
      <c r="D23" s="784">
        <f t="shared" si="1"/>
        <v>6.5</v>
      </c>
      <c r="E23" s="784">
        <f t="shared" si="1"/>
        <v>6.5</v>
      </c>
      <c r="F23" s="784">
        <f t="shared" si="1"/>
        <v>6</v>
      </c>
      <c r="G23" s="784">
        <f t="shared" si="1"/>
        <v>5</v>
      </c>
      <c r="H23" s="784">
        <f t="shared" si="1"/>
        <v>4</v>
      </c>
      <c r="I23" s="784">
        <f t="shared" si="1"/>
        <v>2.5</v>
      </c>
      <c r="J23" s="784">
        <f t="shared" si="1"/>
        <v>2</v>
      </c>
      <c r="K23" s="784">
        <f t="shared" si="1"/>
        <v>2</v>
      </c>
      <c r="L23" s="784">
        <f t="shared" si="1"/>
        <v>2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5.5</v>
      </c>
      <c r="D24" s="784">
        <f t="shared" si="1"/>
        <v>5.5</v>
      </c>
      <c r="E24" s="784">
        <f t="shared" si="1"/>
        <v>5.5</v>
      </c>
      <c r="F24" s="784">
        <f t="shared" si="1"/>
        <v>5.5</v>
      </c>
      <c r="G24" s="784">
        <f t="shared" si="1"/>
        <v>5.5</v>
      </c>
      <c r="H24" s="784">
        <f t="shared" si="1"/>
        <v>5</v>
      </c>
      <c r="I24" s="784">
        <f t="shared" si="1"/>
        <v>4.5</v>
      </c>
      <c r="J24" s="784">
        <f t="shared" si="1"/>
        <v>3</v>
      </c>
      <c r="K24" s="784">
        <f t="shared" si="1"/>
        <v>2</v>
      </c>
      <c r="L24" s="784">
        <f t="shared" si="1"/>
        <v>2</v>
      </c>
      <c r="M24" s="784">
        <f t="shared" si="1"/>
        <v>2</v>
      </c>
      <c r="N24" s="784">
        <f t="shared" si="1"/>
        <v>2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4.5</v>
      </c>
      <c r="D25" s="784">
        <f t="shared" si="1"/>
        <v>4.5</v>
      </c>
      <c r="E25" s="784">
        <f t="shared" si="1"/>
        <v>4.5</v>
      </c>
      <c r="F25" s="784">
        <f t="shared" si="1"/>
        <v>4.5</v>
      </c>
      <c r="G25" s="784">
        <f t="shared" si="1"/>
        <v>4.5</v>
      </c>
      <c r="H25" s="784">
        <f t="shared" si="1"/>
        <v>4</v>
      </c>
      <c r="I25" s="784">
        <f t="shared" si="1"/>
        <v>4</v>
      </c>
      <c r="J25" s="784">
        <f t="shared" si="1"/>
        <v>3.5</v>
      </c>
      <c r="K25" s="784">
        <f t="shared" si="1"/>
        <v>2.5</v>
      </c>
      <c r="L25" s="784">
        <f t="shared" si="1"/>
        <v>2</v>
      </c>
      <c r="M25" s="784">
        <f t="shared" si="1"/>
        <v>2</v>
      </c>
      <c r="N25" s="784">
        <f t="shared" si="1"/>
        <v>2</v>
      </c>
      <c r="O25" s="784">
        <f t="shared" si="1"/>
        <v>2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sheetPr codeName="Sheet34"/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sheetPr codeName="Sheet35"/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sheetPr codeName="Sheet36"/>
  <dimension ref="A4:M65"/>
  <sheetViews>
    <sheetView showGridLines="0" view="pageLayout" topLeftCell="A7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28" t="s">
        <v>0</v>
      </c>
      <c r="B4" s="1129"/>
      <c r="C4" s="1129"/>
      <c r="D4" s="1129"/>
      <c r="E4" s="1129"/>
      <c r="F4" s="1130"/>
    </row>
    <row r="5" spans="1:6" x14ac:dyDescent="0.2">
      <c r="A5" s="2" t="s">
        <v>1</v>
      </c>
      <c r="B5" s="1131" t="s">
        <v>575</v>
      </c>
      <c r="C5" s="1132"/>
      <c r="D5" s="3" t="s">
        <v>2</v>
      </c>
      <c r="E5" s="1133">
        <v>1</v>
      </c>
      <c r="F5" s="1134"/>
    </row>
    <row r="6" spans="1:6" x14ac:dyDescent="0.2">
      <c r="A6" s="4" t="s">
        <v>3</v>
      </c>
      <c r="B6" s="1135">
        <v>44281</v>
      </c>
      <c r="C6" s="1136"/>
      <c r="D6" s="5" t="s">
        <v>4</v>
      </c>
      <c r="E6" s="1137">
        <v>1</v>
      </c>
      <c r="F6" s="1138"/>
    </row>
    <row r="7" spans="1:6" x14ac:dyDescent="0.2">
      <c r="A7" s="6" t="s">
        <v>5</v>
      </c>
      <c r="B7" s="1124" t="s">
        <v>576</v>
      </c>
      <c r="C7" s="1125"/>
      <c r="D7" s="7" t="s">
        <v>6</v>
      </c>
      <c r="E7" s="1126"/>
      <c r="F7" s="1127"/>
    </row>
    <row r="9" spans="1:6" x14ac:dyDescent="0.2">
      <c r="A9" s="1114" t="s">
        <v>7</v>
      </c>
      <c r="B9" s="698"/>
      <c r="C9" s="699"/>
      <c r="D9" s="8" t="s">
        <v>8</v>
      </c>
      <c r="E9" s="8" t="s">
        <v>9</v>
      </c>
      <c r="F9" s="9" t="s">
        <v>10</v>
      </c>
    </row>
    <row r="10" spans="1:6" x14ac:dyDescent="0.2">
      <c r="A10" s="1115"/>
      <c r="B10" s="700"/>
      <c r="C10" s="701"/>
      <c r="D10" s="680"/>
      <c r="E10" s="10"/>
      <c r="F10" s="11"/>
    </row>
    <row r="12" spans="1:6" ht="12.75" customHeight="1" x14ac:dyDescent="0.2">
      <c r="A12" s="1116" t="s">
        <v>520</v>
      </c>
      <c r="B12" s="734" t="s">
        <v>534</v>
      </c>
      <c r="C12" s="735" t="s">
        <v>534</v>
      </c>
      <c r="D12" s="1117" t="s">
        <v>11</v>
      </c>
      <c r="E12" s="678"/>
      <c r="F12" s="676"/>
    </row>
    <row r="13" spans="1:6" x14ac:dyDescent="0.2">
      <c r="A13" s="1115"/>
      <c r="B13" s="736" t="s">
        <v>535</v>
      </c>
      <c r="C13" s="737" t="s">
        <v>535</v>
      </c>
      <c r="D13" s="1118"/>
      <c r="E13" s="679"/>
      <c r="F13" s="677"/>
    </row>
    <row r="15" spans="1:6" x14ac:dyDescent="0.2">
      <c r="A15" s="1119" t="s">
        <v>48</v>
      </c>
      <c r="B15" s="55">
        <v>-2.7</v>
      </c>
      <c r="C15" s="55">
        <v>-2.7</v>
      </c>
      <c r="D15" s="1121" t="s">
        <v>508</v>
      </c>
      <c r="E15" s="58">
        <v>1.5</v>
      </c>
      <c r="F15" s="59">
        <v>1.5</v>
      </c>
    </row>
    <row r="16" spans="1:6" x14ac:dyDescent="0.2">
      <c r="A16" s="1120"/>
      <c r="B16" s="57">
        <v>-2.4</v>
      </c>
      <c r="C16" s="57">
        <v>-2.4</v>
      </c>
      <c r="D16" s="1122"/>
      <c r="E16" s="721">
        <v>-1.7</v>
      </c>
      <c r="F16" s="722">
        <v>-1.7</v>
      </c>
    </row>
    <row r="17" spans="1:13" x14ac:dyDescent="0.2">
      <c r="A17" s="12" t="s">
        <v>12</v>
      </c>
      <c r="B17" s="741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75" t="s">
        <v>578</v>
      </c>
      <c r="F18" s="776" t="s">
        <v>579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566</v>
      </c>
      <c r="E21" s="23"/>
      <c r="F21" s="354" t="s">
        <v>567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1123" t="s">
        <v>536</v>
      </c>
      <c r="I22" s="1123"/>
      <c r="J22" s="1123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61" t="s">
        <v>528</v>
      </c>
      <c r="C25" s="61" t="s">
        <v>543</v>
      </c>
      <c r="D25" s="30" t="s">
        <v>13</v>
      </c>
      <c r="E25" s="709" t="s">
        <v>507</v>
      </c>
      <c r="F25" s="710">
        <v>3</v>
      </c>
      <c r="H25" s="748">
        <v>49.8</v>
      </c>
      <c r="I25" s="749">
        <v>49.4</v>
      </c>
      <c r="J25" s="757">
        <v>40.799999999999997</v>
      </c>
    </row>
    <row r="26" spans="1:13" ht="13.5" thickBot="1" x14ac:dyDescent="0.25">
      <c r="A26" s="32" t="s">
        <v>17</v>
      </c>
      <c r="B26" s="54" t="s">
        <v>554</v>
      </c>
      <c r="C26" s="54" t="s">
        <v>543</v>
      </c>
      <c r="D26" s="25" t="s">
        <v>17</v>
      </c>
      <c r="E26" s="711" t="s">
        <v>553</v>
      </c>
      <c r="F26" s="712" t="s">
        <v>553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746">
        <v>41.1</v>
      </c>
      <c r="I27" s="747">
        <v>44.8</v>
      </c>
      <c r="J27" s="764">
        <v>27.9</v>
      </c>
    </row>
    <row r="28" spans="1:13" x14ac:dyDescent="0.2">
      <c r="A28" s="2" t="s">
        <v>23</v>
      </c>
      <c r="B28" s="719">
        <v>22.5</v>
      </c>
      <c r="C28" s="719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20">
        <v>7.8</v>
      </c>
      <c r="C29" s="720">
        <v>7.3</v>
      </c>
      <c r="D29" s="34"/>
      <c r="E29" s="34"/>
      <c r="F29" s="718" t="s">
        <v>515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42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702" t="s">
        <v>217</v>
      </c>
      <c r="C32" s="739">
        <f>('04_Springs'!$O$10 -'04_Springs'!$C$13+'SETUP-SHEET_After21T03'!D32)*193</f>
        <v>2948.268</v>
      </c>
      <c r="D32" s="738">
        <v>14.3</v>
      </c>
      <c r="E32" s="703" t="s">
        <v>544</v>
      </c>
      <c r="F32" s="743" t="s">
        <v>549</v>
      </c>
      <c r="G32" s="770" t="s">
        <v>13</v>
      </c>
      <c r="H32" s="748">
        <v>15.1</v>
      </c>
      <c r="I32" s="749">
        <v>2</v>
      </c>
      <c r="J32" s="749">
        <v>87.405000000000001</v>
      </c>
      <c r="K32" s="769"/>
      <c r="L32" s="749">
        <f>$J32-$H32-$I32-49.8</f>
        <v>20.50500000000001</v>
      </c>
      <c r="M32" s="750">
        <f>$J32-$H32-$I32-49.8</f>
        <v>20.50500000000001</v>
      </c>
    </row>
    <row r="33" spans="1:13" ht="13.5" thickBot="1" x14ac:dyDescent="0.25">
      <c r="A33" s="29" t="s">
        <v>27</v>
      </c>
      <c r="B33" s="702" t="s">
        <v>234</v>
      </c>
      <c r="C33" s="739">
        <f>('04_Springs'!$O$11-'04_Springs'!$C$27+'SETUP-SHEET_After21T03'!D33)*193</f>
        <v>2675.5589999999997</v>
      </c>
      <c r="D33" s="738">
        <v>19</v>
      </c>
      <c r="E33" s="702" t="s">
        <v>545</v>
      </c>
      <c r="F33" s="744" t="s">
        <v>550</v>
      </c>
      <c r="G33" s="771" t="s">
        <v>17</v>
      </c>
      <c r="H33" s="748">
        <v>15.1</v>
      </c>
      <c r="I33" s="749">
        <v>2</v>
      </c>
      <c r="J33" s="749">
        <v>96.4</v>
      </c>
      <c r="K33" s="769"/>
      <c r="L33" s="749">
        <f>$J$33-$H$33-$I$33-41.1</f>
        <v>38.20000000000001</v>
      </c>
      <c r="M33" s="750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08" t="s">
        <v>546</v>
      </c>
      <c r="F34" s="744" t="s">
        <v>548</v>
      </c>
      <c r="G34" s="772" t="s">
        <v>89</v>
      </c>
      <c r="H34" s="752"/>
      <c r="I34" s="753"/>
      <c r="J34" s="208">
        <v>172.52</v>
      </c>
      <c r="K34" s="208">
        <v>70.3</v>
      </c>
      <c r="L34" s="1251">
        <f>J34-K34-40.8</f>
        <v>61.420000000000016</v>
      </c>
      <c r="M34" s="1252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706" t="s">
        <v>547</v>
      </c>
      <c r="F35" s="751">
        <f>28.2+36.2</f>
        <v>64.400000000000006</v>
      </c>
      <c r="G35" s="773" t="s">
        <v>90</v>
      </c>
      <c r="H35" s="754"/>
      <c r="I35" s="755"/>
      <c r="J35" s="745">
        <v>232.88499999999999</v>
      </c>
      <c r="K35" s="745">
        <v>140</v>
      </c>
      <c r="L35" s="1253">
        <f>J35-K35-27.9</f>
        <v>64.984999999999985</v>
      </c>
      <c r="M35" s="1254"/>
    </row>
    <row r="36" spans="1:13" x14ac:dyDescent="0.2">
      <c r="C36" s="1113" t="s">
        <v>574</v>
      </c>
      <c r="D36" s="1113"/>
      <c r="E36" s="1113"/>
      <c r="F36" s="1113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13" t="s">
        <v>555</v>
      </c>
      <c r="D38" s="703" t="s">
        <v>556</v>
      </c>
      <c r="E38" s="703" t="s">
        <v>557</v>
      </c>
      <c r="F38" s="714" t="s">
        <v>558</v>
      </c>
    </row>
    <row r="39" spans="1:13" x14ac:dyDescent="0.2">
      <c r="A39" s="63" t="s">
        <v>482</v>
      </c>
      <c r="B39" s="636" t="s">
        <v>487</v>
      </c>
      <c r="C39" s="711" t="s">
        <v>559</v>
      </c>
      <c r="D39" s="711" t="s">
        <v>560</v>
      </c>
      <c r="E39" s="711" t="s">
        <v>561</v>
      </c>
      <c r="F39" s="712" t="s">
        <v>561</v>
      </c>
    </row>
    <row r="40" spans="1:13" x14ac:dyDescent="0.2">
      <c r="C40" s="1113" t="s">
        <v>574</v>
      </c>
      <c r="D40" s="1113"/>
      <c r="E40" s="1113"/>
      <c r="F40" s="1113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703" t="s">
        <v>562</v>
      </c>
      <c r="D42" s="639"/>
      <c r="E42" s="716" t="s">
        <v>563</v>
      </c>
      <c r="F42" s="48"/>
    </row>
    <row r="43" spans="1:13" x14ac:dyDescent="0.2">
      <c r="A43" s="63" t="s">
        <v>483</v>
      </c>
      <c r="B43" s="636" t="s">
        <v>17</v>
      </c>
      <c r="C43" s="715" t="s">
        <v>564</v>
      </c>
      <c r="D43" s="640"/>
      <c r="E43" s="717" t="s">
        <v>565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568</v>
      </c>
    </row>
    <row r="46" spans="1:13" x14ac:dyDescent="0.2">
      <c r="A46" s="740" t="s">
        <v>526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705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704" t="s">
        <v>527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B58" s="220"/>
      <c r="C58" s="220"/>
      <c r="D58" s="220"/>
      <c r="E58" s="220"/>
      <c r="F58" s="356" t="s">
        <v>511</v>
      </c>
    </row>
    <row r="59" spans="1:6" x14ac:dyDescent="0.2">
      <c r="A59" s="682"/>
      <c r="B59" s="220"/>
      <c r="C59" s="220"/>
      <c r="D59" s="220"/>
      <c r="E59" s="220"/>
      <c r="F59" s="355" t="s">
        <v>263</v>
      </c>
    </row>
    <row r="60" spans="1:6" x14ac:dyDescent="0.2">
      <c r="A60" s="681"/>
      <c r="B60" s="220"/>
      <c r="C60" s="220"/>
      <c r="D60" s="220"/>
      <c r="E60" s="220"/>
      <c r="F60" s="356" t="s">
        <v>511</v>
      </c>
    </row>
    <row r="61" spans="1:6" x14ac:dyDescent="0.2">
      <c r="A61" s="681"/>
      <c r="B61" s="220"/>
      <c r="C61" s="220"/>
      <c r="D61" s="220"/>
      <c r="E61" s="220"/>
      <c r="F61" s="355" t="s">
        <v>264</v>
      </c>
    </row>
    <row r="62" spans="1:6" x14ac:dyDescent="0.2">
      <c r="A62" s="681"/>
      <c r="B62" s="220"/>
      <c r="C62" s="220"/>
      <c r="D62" s="220"/>
      <c r="E62" s="220"/>
      <c r="F62" s="31" t="s">
        <v>513</v>
      </c>
    </row>
    <row r="63" spans="1:6" x14ac:dyDescent="0.2">
      <c r="A63" s="681"/>
      <c r="B63" s="220"/>
      <c r="C63" s="220"/>
      <c r="D63" s="220"/>
      <c r="E63" s="220"/>
      <c r="F63" s="683"/>
    </row>
    <row r="64" spans="1:6" x14ac:dyDescent="0.2">
      <c r="A64" s="681"/>
      <c r="B64" s="220"/>
      <c r="C64" s="220"/>
      <c r="D64" s="220"/>
      <c r="E64" s="220"/>
      <c r="F64" s="683"/>
    </row>
    <row r="65" spans="1:6" x14ac:dyDescent="0.2">
      <c r="A65" s="16"/>
      <c r="B65" s="18"/>
      <c r="C65" s="18"/>
      <c r="D65" s="18"/>
      <c r="E65" s="18"/>
      <c r="F65" s="684"/>
    </row>
  </sheetData>
  <mergeCells count="17">
    <mergeCell ref="L34:M34"/>
    <mergeCell ref="L35:M35"/>
    <mergeCell ref="H22:J22"/>
    <mergeCell ref="C36:F36"/>
    <mergeCell ref="C40:F40"/>
    <mergeCell ref="A4:F4"/>
    <mergeCell ref="B5:C5"/>
    <mergeCell ref="E5:F5"/>
    <mergeCell ref="B6:C6"/>
    <mergeCell ref="E6:F6"/>
    <mergeCell ref="A15:A16"/>
    <mergeCell ref="D15:D16"/>
    <mergeCell ref="B7:C7"/>
    <mergeCell ref="E7:F7"/>
    <mergeCell ref="A9:A10"/>
    <mergeCell ref="A12:A13"/>
    <mergeCell ref="D12:D13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sheetPr codeName="Sheet37"/>
  <dimension ref="B1:S35"/>
  <sheetViews>
    <sheetView showGridLines="0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97" t="s">
        <v>185</v>
      </c>
      <c r="C2" s="898" t="s">
        <v>34</v>
      </c>
      <c r="D2" s="460"/>
      <c r="E2" s="460"/>
      <c r="G2" s="1229" t="s">
        <v>135</v>
      </c>
      <c r="H2" s="1230"/>
      <c r="I2" s="1230"/>
      <c r="J2" s="1230"/>
      <c r="K2" s="1230"/>
      <c r="L2" s="1230"/>
      <c r="M2" s="1230"/>
      <c r="N2" s="1230"/>
      <c r="O2" s="1230"/>
      <c r="P2" s="1230"/>
      <c r="Q2" s="1231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32" t="s">
        <v>177</v>
      </c>
      <c r="H4" s="1233"/>
      <c r="I4" s="1234"/>
      <c r="J4" s="381"/>
      <c r="K4" s="381"/>
      <c r="L4" s="381"/>
      <c r="M4" s="1232" t="s">
        <v>179</v>
      </c>
      <c r="N4" s="1233"/>
      <c r="O4" s="1233"/>
      <c r="P4" s="1233"/>
      <c r="Q4" s="1234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610</v>
      </c>
    </row>
    <row r="16" spans="2:19" ht="15.75" thickBot="1" x14ac:dyDescent="0.3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727" t="s">
        <v>156</v>
      </c>
      <c r="H17" s="728">
        <v>0</v>
      </c>
      <c r="I17" s="729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730" t="s">
        <v>158</v>
      </c>
      <c r="H18" s="731">
        <v>0</v>
      </c>
      <c r="I18" s="732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95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237" t="s">
        <v>178</v>
      </c>
      <c r="H22" s="1238"/>
      <c r="I22" s="1239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240">
        <f>N21/(N21+O21)</f>
        <v>0.52776146129452606</v>
      </c>
      <c r="O23" s="1240"/>
      <c r="P23" s="724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235">
        <v>3.6</v>
      </c>
      <c r="O24" s="1235"/>
      <c r="P24" s="724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236">
        <f>(N21+O21)/N24</f>
        <v>1136.2233298074136</v>
      </c>
      <c r="O25" s="1236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73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Setup_Log_NEW</vt:lpstr>
      <vt:lpstr>SETUP-SHEET for 21R03 #709</vt:lpstr>
      <vt:lpstr>SETUP-SHEET for 21R03 #708</vt:lpstr>
      <vt:lpstr>Setup_Log</vt:lpstr>
      <vt:lpstr>Driver_Fit_709</vt:lpstr>
      <vt:lpstr>01_Aerodynamics</vt:lpstr>
      <vt:lpstr>01_Aerodynamics2</vt:lpstr>
      <vt:lpstr>02_3rd elements</vt:lpstr>
      <vt:lpstr>03_Anti-Roll Bars (LM-FP3)</vt:lpstr>
      <vt:lpstr>03_Anti-Roll Bars (LM-FP1)</vt:lpstr>
      <vt:lpstr>03_Anti-Roll Bars (LM-Test)</vt:lpstr>
      <vt:lpstr>03_Anti-Roll Bars (MNZ)</vt:lpstr>
      <vt:lpstr>03_Anti-Roll Bars (POR) (2)</vt:lpstr>
      <vt:lpstr>03_Anti-Roll Bars (POR)</vt:lpstr>
      <vt:lpstr>03_Anti-Roll Bars (VAL)</vt:lpstr>
      <vt:lpstr>03_Anti-Roll Bars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Fabio Vitti</cp:lastModifiedBy>
  <cp:lastPrinted>2021-07-13T16:53:24Z</cp:lastPrinted>
  <dcterms:created xsi:type="dcterms:W3CDTF">2021-01-07T16:16:54Z</dcterms:created>
  <dcterms:modified xsi:type="dcterms:W3CDTF">2021-08-20T19:58:03Z</dcterms:modified>
</cp:coreProperties>
</file>