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2\06_Setup\"/>
    </mc:Choice>
  </mc:AlternateContent>
  <xr:revisionPtr revIDLastSave="0" documentId="13_ncr:1_{A0F8C889-7F92-4250-A82A-0842C892B156}" xr6:coauthVersionLast="47" xr6:coauthVersionMax="47" xr10:uidLastSave="{00000000-0000-0000-0000-000000000000}"/>
  <bookViews>
    <workbookView xWindow="-120" yWindow="-16320" windowWidth="29040" windowHeight="15840" tabRatio="941" firstSheet="16" xr2:uid="{E85B239D-F83C-45ED-B7E1-DA8BBBF6FCBC}"/>
  </bookViews>
  <sheets>
    <sheet name="Setup_Log_709" sheetId="41" r:id="rId1"/>
    <sheet name="SETUP-SHEET for 21R03 #709" sheetId="40" r:id="rId2"/>
    <sheet name="01_Aerodynamics" sheetId="7" r:id="rId3"/>
    <sheet name="01_Aerodynamics2" sheetId="39" r:id="rId4"/>
    <sheet name="02_3rd elements" sheetId="4" r:id="rId5"/>
    <sheet name="03_Anti-Roll Bars_21R03FP1" sheetId="20" r:id="rId6"/>
    <sheet name="03_Anti-Roll Bars (POR) (2)" sheetId="46" r:id="rId7"/>
    <sheet name="03_Anti-Roll Bars (POR)" sheetId="44" r:id="rId8"/>
    <sheet name="03_Anti-Roll Bars (VAL)" sheetId="43" r:id="rId9"/>
    <sheet name="04_Springs" sheetId="3" r:id="rId10"/>
    <sheet name="05_Bump-stops" sheetId="9" r:id="rId11"/>
    <sheet name="06_Dampers" sheetId="5" r:id="rId12"/>
    <sheet name="07_Brakes" sheetId="2" r:id="rId13"/>
    <sheet name="08_Gearbox" sheetId="12" r:id="rId14"/>
    <sheet name="09_Differential" sheetId="15" r:id="rId15"/>
    <sheet name="10_Engine" sheetId="8" r:id="rId16"/>
    <sheet name="11_Traction Control" sheetId="14" r:id="rId17"/>
    <sheet name="12_Kinematics" sheetId="16" r:id="rId18"/>
    <sheet name="13_Ballast" sheetId="18" r:id="rId19"/>
    <sheet name="14_Bodywork" sheetId="19" r:id="rId20"/>
    <sheet name="_calculations" sheetId="10" r:id="rId21"/>
    <sheet name="_constants" sheetId="17" r:id="rId22"/>
    <sheet name="08b_Gearbox_Long-Proposal" sheetId="21" r:id="rId23"/>
    <sheet name="LoadCell" sheetId="31" r:id="rId24"/>
    <sheet name="TC_DRY" sheetId="28" r:id="rId25"/>
    <sheet name="TC_DRY (2)" sheetId="32" r:id="rId26"/>
    <sheet name="TC_WET" sheetId="30" r:id="rId27"/>
    <sheet name="Thermax" sheetId="22" r:id="rId28"/>
    <sheet name="_todo" sheetId="11" r:id="rId29"/>
    <sheet name="SETUP-SHEET_After21T03" sheetId="1" r:id="rId30"/>
    <sheet name="07_Brakes_Experiments" sheetId="33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41" l="1"/>
  <c r="L29" i="41"/>
  <c r="M28" i="41"/>
  <c r="L28" i="41"/>
  <c r="N26" i="41"/>
  <c r="O26" i="41"/>
  <c r="M26" i="41"/>
  <c r="L26" i="41"/>
  <c r="M25" i="41"/>
  <c r="L25" i="41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AA38" i="41"/>
  <c r="AA37" i="41"/>
  <c r="AA35" i="41"/>
  <c r="AA34" i="41"/>
  <c r="AA32" i="41"/>
  <c r="AA31" i="41"/>
  <c r="AA29" i="41"/>
  <c r="AA28" i="41"/>
  <c r="AA26" i="41"/>
  <c r="AA25" i="41"/>
  <c r="AA23" i="41"/>
  <c r="AA22" i="41"/>
  <c r="AA20" i="41"/>
  <c r="AA19" i="41"/>
  <c r="AA17" i="41"/>
  <c r="AA16" i="41"/>
  <c r="AA11" i="41"/>
  <c r="AA10" i="41"/>
  <c r="AA13" i="41"/>
  <c r="D38" i="46" l="1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F13" i="46" l="1"/>
  <c r="AG12" i="46"/>
  <c r="AH12" i="46"/>
  <c r="AI12" i="46" s="1"/>
  <c r="AH13" i="46" l="1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O38" i="41" l="1"/>
  <c r="N38" i="41"/>
  <c r="AC37" i="41"/>
  <c r="AB37" i="41"/>
  <c r="O37" i="41"/>
  <c r="N37" i="41"/>
  <c r="O35" i="41"/>
  <c r="N35" i="41"/>
  <c r="AC34" i="41"/>
  <c r="AB34" i="41"/>
  <c r="O34" i="41"/>
  <c r="N34" i="41"/>
  <c r="O32" i="41"/>
  <c r="N32" i="41"/>
  <c r="AC31" i="41"/>
  <c r="AB31" i="41"/>
  <c r="O31" i="41"/>
  <c r="N31" i="41"/>
  <c r="O29" i="41"/>
  <c r="N29" i="41"/>
  <c r="AC28" i="41"/>
  <c r="AB28" i="41"/>
  <c r="O28" i="41"/>
  <c r="N28" i="41"/>
  <c r="AC25" i="41"/>
  <c r="AB25" i="41"/>
  <c r="O25" i="41"/>
  <c r="N25" i="41"/>
  <c r="O23" i="41"/>
  <c r="N23" i="41"/>
  <c r="AC22" i="41"/>
  <c r="AB22" i="41"/>
  <c r="O22" i="41"/>
  <c r="N22" i="41"/>
  <c r="O20" i="41"/>
  <c r="N20" i="41"/>
  <c r="AC19" i="41"/>
  <c r="AB19" i="41"/>
  <c r="O19" i="41"/>
  <c r="N19" i="41"/>
  <c r="O17" i="41"/>
  <c r="N17" i="41"/>
  <c r="AC16" i="41"/>
  <c r="AB16" i="41"/>
  <c r="O16" i="41"/>
  <c r="N16" i="41"/>
  <c r="AA14" i="41"/>
  <c r="O14" i="41"/>
  <c r="N14" i="41"/>
  <c r="AC13" i="41"/>
  <c r="AB13" i="41"/>
  <c r="O13" i="41"/>
  <c r="N13" i="41"/>
  <c r="O11" i="41"/>
  <c r="N11" i="41"/>
  <c r="O10" i="41"/>
  <c r="N10" i="41"/>
  <c r="AC10" i="41"/>
  <c r="AB10" i="41" l="1"/>
  <c r="E5" i="41"/>
  <c r="E3" i="41"/>
  <c r="L35" i="40"/>
  <c r="L34" i="40"/>
  <c r="M33" i="40"/>
  <c r="L33" i="40"/>
  <c r="M32" i="40"/>
  <c r="L32" i="40"/>
  <c r="G28" i="41" l="1"/>
  <c r="F28" i="41"/>
  <c r="G37" i="41"/>
  <c r="G25" i="41"/>
  <c r="F37" i="41"/>
  <c r="F25" i="41"/>
  <c r="G19" i="41"/>
  <c r="F19" i="41"/>
  <c r="G34" i="41"/>
  <c r="G22" i="41"/>
  <c r="F34" i="41"/>
  <c r="F22" i="41"/>
  <c r="G31" i="41"/>
  <c r="F31" i="41"/>
  <c r="G32" i="41"/>
  <c r="G35" i="41"/>
  <c r="G29" i="41"/>
  <c r="G23" i="41"/>
  <c r="F29" i="41"/>
  <c r="F23" i="41"/>
  <c r="G20" i="41"/>
  <c r="F38" i="41"/>
  <c r="F26" i="41"/>
  <c r="G26" i="41"/>
  <c r="F35" i="41"/>
  <c r="F20" i="41"/>
  <c r="G38" i="41"/>
  <c r="F32" i="41"/>
  <c r="F14" i="41"/>
  <c r="G17" i="41"/>
  <c r="F17" i="41"/>
  <c r="G14" i="41"/>
  <c r="F10" i="41"/>
  <c r="G16" i="41"/>
  <c r="F13" i="41"/>
  <c r="F16" i="41"/>
  <c r="G13" i="41"/>
  <c r="G11" i="41"/>
  <c r="F11" i="41"/>
  <c r="G10" i="41"/>
  <c r="O16" i="2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O16" i="33" l="1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Q17" i="33" l="1"/>
  <c r="N21" i="33"/>
  <c r="H15" i="33"/>
  <c r="H24" i="33" s="1"/>
  <c r="O21" i="33"/>
  <c r="H16" i="33"/>
  <c r="H25" i="33" s="1"/>
  <c r="H28" i="33" s="1"/>
  <c r="H30" i="33" s="1"/>
  <c r="H32" i="33" s="1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H43" i="20"/>
  <c r="M33" i="1"/>
  <c r="M32" i="1"/>
  <c r="L33" i="1"/>
  <c r="L32" i="1"/>
  <c r="L34" i="1"/>
  <c r="C32" i="1"/>
  <c r="L35" i="1"/>
  <c r="C33" i="1"/>
  <c r="F35" i="1"/>
  <c r="H23" i="31" l="1"/>
  <c r="H21" i="31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K27" i="2" l="1"/>
  <c r="H30" i="2"/>
  <c r="H32" i="2" s="1"/>
  <c r="N25" i="2"/>
  <c r="N23" i="2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<sst xmlns="http://schemas.openxmlformats.org/spreadsheetml/2006/main" count="1833" uniqueCount="704">
  <si>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</si>
  <si>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</si>
  <si>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</si>
  <si>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</si>
  <si>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</si>
  <si>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</si>
  <si>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</si>
  <si>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</si>
  <si>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</si>
  <si>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</si>
  <si>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</si>
  <si>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</si>
  <si>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</si>
  <si>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</si>
  <si>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</si>
  <si>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</si>
  <si>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</si>
  <si>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</si>
  <si>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</si>
  <si>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</si>
  <si>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</si>
  <si>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</si>
  <si>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</si>
  <si>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</si>
  <si>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</si>
  <si>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</si>
  <si>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</si>
  <si>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</si>
  <si>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</si>
  <si>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</si>
  <si>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</si>
  <si>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</si>
  <si>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</si>
  <si>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</si>
  <si>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</si>
  <si>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</si>
  <si>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</si>
  <si>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</si>
  <si>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</si>
  <si>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</si>
  <si>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</si>
  <si>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</si>
  <si>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</si>
  <si>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</si>
  <si>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</si>
  <si>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</si>
  <si>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</si>
  <si>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</si>
  <si>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</si>
  <si>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</si>
  <si>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</si>
  <si>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</si>
  <si>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</si>
  <si>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</si>
  <si>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</si>
  <si>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</si>
  <si>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</si>
  <si>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</si>
  <si>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</si>
  <si>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</si>
  <si>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</si>
  <si>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</si>
  <si>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</si>
  <si>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</si>
  <si>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</si>
  <si>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</si>
  <si>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</si>
  <si>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</si>
  <si>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</si>
  <si>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</si>
  <si>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</si>
  <si>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</si>
  <si>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</si>
  <si>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</si>
  <si>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</si>
  <si>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</si>
  <si>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</si>
  <si>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</si>
  <si>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</si>
  <si>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</si>
  <si>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</si>
  <si>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</si>
  <si>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</si>
  <si>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</si>
  <si>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</si>
  <si>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</si>
  <si>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</si>
  <si>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</si>
  <si>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</si>
  <si>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</si>
  <si>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</si>
  <si>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</si>
  <si>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</si>
  <si>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</si>
  <si>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</si>
  <si>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</si>
  <si>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</si>
  <si>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</si>
  <si>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</si>
  <si>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</si>
  <si>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</si>
  <si>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</si>
  <si>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</si>
  <si>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</si>
  <si>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</si>
  <si>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</si>
  <si>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</si>
  <si>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</si>
  <si>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</si>
  <si>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</si>
  <si>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</si>
  <si>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</si>
  <si>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</si>
  <si>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</si>
  <si>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</si>
  <si>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</si>
  <si>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</si>
  <si>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</si>
  <si>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</si>
  <si>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</si>
  <si>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</si>
  <si>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</si>
  <si>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</si>
  <si>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</si>
  <si>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</si>
  <si>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</si>
  <si>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</si>
  <si>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</si>
  <si>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</si>
  <si>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</si>
  <si>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</si>
  <si>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</si>
  <si>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</si>
  <si>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</si>
  <si>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</si>
  <si>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</si>
  <si>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</si>
  <si>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</si>
  <si>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</si>
  <si>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</si>
  <si>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</si>
  <si>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</si>
  <si>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</si>
  <si>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</si>
  <si>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</si>
  <si>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</si>
  <si>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</si>
  <si>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</si>
  <si>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</si>
  <si>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</si>
  <si>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</si>
  <si>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</si>
  <si>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</si>
  <si>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</si>
  <si>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</si>
  <si>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</si>
  <si>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</si>
  <si>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</si>
  <si>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</si>
  <si>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</si>
  <si>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</si>
  <si>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</si>
  <si>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</si>
  <si>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</si>
  <si>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</si>
  <si>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</si>
  <si>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</si>
  <si>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</si>
  <si>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</si>
  <si>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</si>
  <si>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</si>
  <si>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</si>
  <si>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</si>
  <si>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</si>
  <si>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</si>
  <si>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</si>
  <si>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</si>
  <si>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</si>
  <si>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</si>
  <si>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</si>
  <si>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</si>
  <si>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</si>
  <si>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</si>
  <si>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</si>
  <si>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</si>
  <si>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</si>
  <si>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</si>
  <si>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</si>
  <si>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</si>
  <si>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</si>
  <si>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</si>
  <si>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</si>
  <si>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</si>
  <si>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</si>
  <si>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</si>
  <si>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</si>
  <si>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</si>
  <si>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</si>
  <si>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</si>
  <si>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</si>
  <si>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</si>
  <si>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</si>
  <si>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</si>
  <si>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</si>
  <si>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</si>
  <si>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</si>
  <si>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</si>
  <si>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</si>
  <si>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</si>
  <si>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</si>
  <si>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</si>
  <si>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</si>
  <si>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</si>
  <si>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</si>
  <si>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</si>
  <si>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</si>
  <si>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</si>
  <si>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</si>
  <si>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</si>
  <si>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</si>
  <si>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</si>
  <si>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</si>
  <si>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</si>
  <si>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</si>
  <si>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</si>
  <si>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</si>
  <si>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</si>
  <si>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</si>
  <si>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</si>
  <si>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</si>
  <si>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</si>
  <si>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</si>
  <si>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</si>
  <si>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</si>
  <si>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</si>
  <si>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</si>
  <si>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</si>
  <si>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</si>
  <si>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</si>
  <si>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</si>
  <si>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</si>
  <si>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</si>
  <si>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</si>
  <si>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</si>
  <si>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</si>
  <si>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</si>
  <si>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</si>
  <si>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</si>
  <si>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</si>
  <si>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</si>
  <si>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</si>
  <si>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</si>
  <si>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</si>
  <si>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</si>
  <si>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</si>
  <si>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</si>
  <si>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</si>
  <si>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</si>
  <si>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</si>
  <si>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</si>
  <si>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</si>
  <si>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</si>
  <si>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</si>
  <si>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</si>
  <si>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</si>
  <si>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</si>
  <si>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</si>
  <si>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</si>
  <si>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</si>
  <si>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</si>
  <si>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</si>
  <si>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</si>
  <si>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</si>
  <si>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</si>
  <si>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</si>
  <si>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</si>
  <si>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</si>
  <si>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</si>
  <si>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</si>
  <si>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</si>
  <si>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</si>
  <si>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</si>
  <si>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</si>
  <si>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</si>
  <si>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</si>
  <si>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</si>
  <si>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</si>
  <si>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</si>
  <si>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</si>
  <si>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</si>
  <si>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</si>
  <si>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</si>
  <si>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</si>
  <si>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</si>
  <si>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</si>
  <si>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</si>
  <si>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</si>
  <si>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</si>
  <si>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</si>
  <si>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</si>
  <si>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</si>
  <si>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</si>
  <si>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</si>
  <si>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</si>
  <si>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</si>
  <si>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</si>
  <si>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</si>
  <si>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</si>
  <si>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</si>
  <si>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</si>
  <si>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</si>
  <si>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</si>
  <si>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</si>
  <si>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</si>
  <si>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</si>
  <si>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</si>
  <si>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</si>
  <si>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</si>
  <si>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</si>
  <si>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</si>
  <si>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</si>
  <si>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</si>
  <si>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</si>
  <si>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</si>
  <si>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</si>
  <si>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</si>
  <si>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</si>
  <si>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</si>
  <si>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</si>
  <si>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</si>
  <si>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</si>
  <si>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</si>
  <si>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</si>
  <si>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</si>
  <si>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</si>
  <si>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</si>
  <si>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</si>
  <si>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</si>
  <si>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</si>
  <si>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</si>
  <si>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</si>
  <si>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</si>
  <si>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</si>
  <si>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</si>
  <si>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</si>
  <si>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</si>
  <si>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</si>
  <si>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</si>
  <si>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</si>
  <si>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</si>
  <si>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</si>
  <si>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</si>
  <si>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</si>
  <si>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</si>
  <si>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</si>
  <si>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</si>
  <si>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</si>
  <si>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</si>
  <si>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</si>
  <si>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</si>
  <si>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</si>
  <si>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</si>
  <si>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</si>
  <si>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</si>
  <si>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</si>
  <si>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</si>
  <si>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</si>
  <si>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</si>
  <si>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</si>
  <si>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</si>
  <si>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</si>
  <si>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</si>
  <si>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</si>
  <si>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</si>
  <si>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</si>
  <si>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</si>
  <si>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</si>
  <si>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</si>
  <si>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</si>
  <si>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</si>
  <si>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</si>
  <si>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</si>
  <si>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</si>
  <si>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</si>
  <si>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</si>
  <si>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</si>
  <si>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</si>
  <si>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</si>
  <si>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</si>
  <si>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</si>
  <si>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</si>
  <si>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</si>
  <si>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</si>
  <si>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</si>
  <si>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</si>
  <si>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</si>
  <si>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</si>
  <si>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</si>
  <si>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</si>
  <si>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</si>
  <si>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</si>
  <si>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</si>
  <si>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</si>
  <si>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</si>
  <si>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</si>
  <si>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</si>
  <si>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</si>
  <si>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</si>
  <si>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</si>
  <si>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</si>
  <si>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</si>
  <si>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</si>
  <si>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</si>
  <si>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</si>
  <si>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</si>
  <si>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</si>
  <si>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</si>
  <si>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</si>
  <si>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</si>
  <si>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</si>
  <si>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</si>
  <si>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</si>
  <si>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</si>
  <si>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</si>
  <si>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</si>
  <si>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</si>
  <si>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</si>
  <si>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</si>
  <si>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</si>
  <si>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</si>
  <si>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</si>
  <si>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</si>
  <si>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</si>
  <si>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</si>
  <si>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</si>
  <si>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</si>
  <si>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</si>
  <si>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</si>
  <si>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</si>
  <si>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</si>
  <si>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</si>
  <si>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</si>
  <si>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</si>
  <si>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</si>
  <si>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</si>
  <si>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</si>
  <si>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</si>
  <si>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</si>
  <si>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</si>
  <si>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</si>
  <si>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</si>
  <si>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</si>
  <si>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</si>
  <si>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</si>
  <si>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</si>
  <si>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</si>
  <si>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</si>
  <si>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</si>
  <si>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</si>
  <si>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</si>
  <si>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</si>
  <si>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</si>
  <si>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</si>
  <si>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</si>
  <si>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</si>
  <si>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</si>
  <si>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</si>
  <si>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</si>
  <si>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</si>
  <si>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</si>
  <si>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</si>
  <si>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</si>
  <si>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</si>
  <si>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</si>
  <si>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</si>
  <si>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</si>
  <si>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</si>
  <si>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</si>
  <si>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</si>
  <si>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</si>
  <si>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</si>
  <si>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</si>
  <si>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</si>
  <si>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</si>
  <si>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</si>
  <si>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</si>
  <si>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</si>
  <si>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</si>
  <si>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</si>
  <si>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</si>
  <si>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</si>
  <si>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</si>
  <si>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</si>
  <si>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</si>
  <si>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</si>
  <si>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</si>
  <si>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</si>
  <si>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</si>
  <si>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</si>
  <si>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</si>
  <si>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</si>
  <si>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</si>
  <si>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</si>
  <si>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</si>
  <si>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</si>
  <si>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</si>
  <si>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</si>
  <si>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</si>
  <si>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</si>
  <si>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</si>
  <si>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</si>
  <si>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</si>
  <si>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</si>
  <si>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</si>
  <si>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</si>
  <si>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</si>
  <si>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</si>
  <si>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</si>
  <si>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</si>
  <si>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</si>
  <si>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</si>
  <si>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Tot pack length 127.5 @ setup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</si>
  <si>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</si>
  <si>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</si>
  <si>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</si>
  <si>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</si>
  <si>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</si>
  <si>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</si>
  <si>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</si>
  <si>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</si>
  <si>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</si>
  <si>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</si>
  <si>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</si>
  <si>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</si>
  <si>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</si>
  <si>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</si>
  <si>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</si>
  <si>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</si>
  <si>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</si>
  <si>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</si>
  <si>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</si>
  <si>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</si>
  <si>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</si>
  <si>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</si>
  <si>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</si>
  <si>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</si>
  <si>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</si>
  <si>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</si>
  <si>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</si>
  <si>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</si>
  <si>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</si>
  <si>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</si>
  <si>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</si>
  <si>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</si>
  <si>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</si>
  <si>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</si>
  <si>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</si>
  <si>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</si>
  <si>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</si>
  <si>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</si>
  <si>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</si>
  <si>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</si>
  <si>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</si>
  <si>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</si>
  <si>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</si>
  <si>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</si>
  <si>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</si>
  <si>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</si>
  <si>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</si>
  <si>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</si>
  <si>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</si>
  <si>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</si>
  <si>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</si>
  <si>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</si>
  <si>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</si>
  <si>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</si>
  <si>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Toe shims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</si>
  <si>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</si>
  <si>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</si>
  <si>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</si>
  <si>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</si>
  <si>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</si>
  <si>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</si>
  <si>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</si>
  <si>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</si>
  <si>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</si>
  <si>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</si>
  <si>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</si>
  <si>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</si>
  <si>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</si>
  <si>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</si>
  <si>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</si>
  <si>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</si>
  <si>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</si>
  <si>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</si>
  <si>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</si>
  <si>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</si>
  <si>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</si>
  <si>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</si>
  <si>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</si>
  <si>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</si>
  <si>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</si>
  <si>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</si>
  <si>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Camber shims</t>
  </si>
  <si>
    <t>Shims sensitivity</t>
  </si>
  <si>
    <t>Toe [mm shim / mm toe]</t>
  </si>
  <si>
    <t>Pushrod [mm shim / mm RH]</t>
  </si>
  <si>
    <t>Camber [mm shim / deg camber]</t>
  </si>
  <si>
    <t>0.704 mm / (mm RH)</t>
  </si>
  <si>
    <t>0.44 mm / (mm RH)</t>
  </si>
  <si>
    <t>Setup</t>
  </si>
  <si>
    <t>BoP power (kW)</t>
  </si>
  <si>
    <t>Type 3</t>
  </si>
  <si>
    <t>?</t>
  </si>
  <si>
    <t>G</t>
  </si>
  <si>
    <t>Blanking</t>
  </si>
  <si>
    <t>Brake paint</t>
  </si>
  <si>
    <t>Bumpstop (droop gap)</t>
  </si>
  <si>
    <t>BoP ballast</t>
  </si>
  <si>
    <t>Pedalbox ballast</t>
  </si>
  <si>
    <t>Gearbox ballast</t>
  </si>
  <si>
    <t>007C #709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</si>
  <si>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</si>
  <si>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</si>
  <si>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</si>
  <si>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</si>
  <si>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</si>
  <si>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</si>
  <si>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</si>
  <si>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</si>
  <si>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</si>
  <si>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</si>
  <si>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</si>
  <si>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</si>
  <si>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15 + 19.8</t>
  </si>
  <si>
    <t>19.8 + 20.5 + 20.5</t>
  </si>
  <si>
    <t>15.5 + 15.6 + 18.9</t>
  </si>
  <si>
    <t>With setup wheels + ballast + 10kg fuel, setup wheel compensated</t>
  </si>
  <si>
    <t>Setup wheel offset</t>
  </si>
  <si>
    <t>+4mm rear preload spacer</t>
  </si>
  <si>
    <t>8 + 617</t>
  </si>
  <si>
    <t>10.1 + 357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</si>
  <si>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</si>
  <si>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</si>
  <si>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</si>
  <si>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</si>
  <si>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</si>
  <si>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</si>
  <si>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21R02</t>
  </si>
  <si>
    <t>100 Nm (XX bar air)</t>
  </si>
  <si>
    <t>Car 708</t>
  </si>
  <si>
    <t>5.74 + 617</t>
  </si>
  <si>
    <t>9.6 + 357</t>
  </si>
  <si>
    <t>5.1 + 613</t>
  </si>
  <si>
    <t>0500.200.0949</t>
  </si>
  <si>
    <t>3.46 + 613</t>
  </si>
  <si>
    <t>4.52 + 357</t>
  </si>
  <si>
    <t>4.97 + 357</t>
  </si>
  <si>
    <t>FP2 Setup</t>
  </si>
  <si>
    <t>FP3 Setdown</t>
  </si>
  <si>
    <t>Qualy Setup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</si>
  <si>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</si>
  <si>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</si>
  <si>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</si>
  <si>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</si>
  <si>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</si>
  <si>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</si>
  <si>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</si>
  <si>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</si>
  <si>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</si>
  <si>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</si>
  <si>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</si>
  <si>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</si>
  <si>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</si>
  <si>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</si>
  <si>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</si>
  <si>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</si>
  <si>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</si>
  <si>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</si>
  <si>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</si>
  <si>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</si>
  <si>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</si>
  <si>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</si>
  <si>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</si>
  <si>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</si>
  <si>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</si>
  <si>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</si>
  <si>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</si>
  <si>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</si>
  <si>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</si>
  <si>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</si>
  <si>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</si>
  <si>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</si>
  <si>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</si>
  <si>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</si>
  <si>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</si>
  <si>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</si>
  <si>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21R03 FP1</t>
  </si>
  <si>
    <t>4.9 + 359</t>
  </si>
  <si>
    <t>4.89 + 359</t>
  </si>
  <si>
    <t>4.85 + 613</t>
  </si>
  <si>
    <t>5.18 + 613</t>
  </si>
  <si>
    <t>TGT</t>
  </si>
  <si>
    <t>Setdown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</si>
</sst>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39" applyNumberFormat="0" applyFill="0" applyAlignment="0" applyProtection="0"/>
  </cellStyleXfs>
  <cellXfs count="1025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44" borderId="19" xfId="0" applyFill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38" xfId="0" applyFont="1" applyFill="1" applyBorder="1"/>
    <xf numFmtId="1" fontId="6" fillId="0" borderId="55" xfId="0" applyNumberFormat="1" applyFont="1" applyBorder="1"/>
    <xf numFmtId="9" fontId="54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2" fillId="2" borderId="1" xfId="2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55" fillId="47" borderId="0" xfId="0" applyFont="1" applyFill="1" applyAlignment="1">
      <alignment horizontal="center" vertical="center"/>
    </xf>
    <xf numFmtId="0" fontId="56" fillId="20" borderId="0" xfId="0" applyFont="1" applyFill="1" applyAlignment="1">
      <alignment horizontal="center" vertical="center"/>
    </xf>
    <xf numFmtId="0" fontId="55" fillId="47" borderId="0" xfId="0" applyFont="1" applyFill="1" applyAlignment="1">
      <alignment horizontal="left" vertical="center"/>
    </xf>
    <xf numFmtId="0" fontId="56" fillId="20" borderId="0" xfId="0" applyFont="1" applyFill="1" applyAlignment="1">
      <alignment horizontal="left" vertical="center"/>
    </xf>
    <xf numFmtId="0" fontId="6" fillId="0" borderId="139" xfId="10"/>
    <xf numFmtId="164" fontId="43" fillId="0" borderId="0" xfId="0" applyNumberFormat="1" applyFont="1"/>
    <xf numFmtId="164" fontId="57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6" fillId="0" borderId="124" xfId="0" applyFont="1" applyFill="1" applyBorder="1" applyAlignment="1">
      <alignment horizontal="center"/>
    </xf>
    <xf numFmtId="0" fontId="6" fillId="0" borderId="98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0" xfId="2" applyBorder="1" applyAlignment="1">
      <alignment horizontal="center"/>
    </xf>
    <xf numFmtId="166" fontId="2" fillId="2" borderId="140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0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1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2" fillId="2" borderId="1" xfId="2" applyBorder="1" applyAlignment="1">
      <alignment horizontal="center"/>
    </xf>
    <xf numFmtId="0" fontId="9" fillId="0" borderId="0" xfId="0" applyFont="1" applyAlignment="1">
      <alignment horizontal="left"/>
    </xf>
    <xf numFmtId="166" fontId="15" fillId="2" borderId="126" xfId="2" applyNumberFormat="1" applyFont="1" applyBorder="1" applyAlignment="1">
      <alignment horizontal="center"/>
    </xf>
    <xf numFmtId="166" fontId="2" fillId="2" borderId="127" xfId="2" applyNumberFormat="1" applyBorder="1" applyAlignment="1">
      <alignment horizontal="center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165" fontId="6" fillId="0" borderId="0" xfId="1" applyNumberFormat="1" applyFont="1" applyBorder="1"/>
    <xf numFmtId="165" fontId="53" fillId="0" borderId="0" xfId="1" applyNumberFormat="1" applyFont="1" applyBorder="1"/>
    <xf numFmtId="2" fontId="2" fillId="2" borderId="1" xfId="2" applyNumberFormat="1" applyBorder="1" applyAlignment="1">
      <alignment horizontal="center"/>
    </xf>
    <xf numFmtId="0" fontId="2" fillId="2" borderId="1" xfId="2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166" fontId="0" fillId="0" borderId="4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Bars_21R03FP1'!$C$2:$H$2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Bars_21R03FP1'!$B$9:$B$23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Bars_21R03FP1'!$C$27:$D$27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Bars_21R03FP1'!$D$27:$F$27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Bars_21R03FP1'!$F$27:$G$27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Bars_21R03FP1'!$C$11:$D$11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Bars_21R03FP1'!$C$29:$D$29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Bars_21R03FP1'!$D$29:$F$29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Bars_21R03FP1'!$F$29:$G$29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Bars_21R03FP1'!$C$30:$D$30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Bars_21R03FP1'!$D$30:$F$30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Bars_21R03FP1'!$F$30:$G$30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Bars_21R03FP1'!$C$14:$D$14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Bars_21R03FP1'!$C$31:$D$31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Bars_21R03FP1'!$D$31:$F$31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Bars_21R03FP1'!$F$31:$G$31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Bars_21R03FP1'!$C$33:$D$33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Bars_21R03FP1'!$D$33:$F$33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Bars_21R03FP1'!$F$33:$G$33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Bars_21R03FP1'!$C$34:$D$34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Bars_21R03FP1'!$D$34:$F$34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Bars_21R03FP1'!$F$34:$G$34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Bars_21R03FP1'!$C$35:$D$35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Bars_21R03FP1'!$D$35:$F$35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Bars_21R03FP1'!$F$35:$G$35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Bars_21R03FP1'!$C$40:$D$40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Bars_21R03FP1'!$D$40:$F$40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Bars_21R03FP1'!$F$40:$G$40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Bars_21R03FP1'!$C$37:$D$37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Bars_21R03FP1'!$D$37:$F$37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Bars_21R03FP1'!$F$37:$G$37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Bars_21R03FP1'!$C$38:$D$38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Bars_21R03FP1'!$D$38:$F$38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Bars_21R03FP1'!$F$38:$G$38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Bars_21R03FP1'!$C$39:$D$39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Bars_21R03FP1'!$D$39:$F$39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Bars_21R03FP1'!$F$39:$G$39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1767FCD-B10D-4D3F-9039-3835A67845A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142483C-8A4E-45D5-BE74-D3B4DD19B74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B68C0DF-62FD-4453-8767-46381453AE8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A49E9A2-6B0D-471E-A30E-1FDD5A8FE159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690765E-7300-49AD-8957-0EA404AFFCD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0CD4C53-DEBA-4B60-BE9B-73BE2A76FC9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5045FF-37DB-4B94-945D-148F0E6D41D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F03E47F-792E-4098-8D3C-5790A41A88E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A4426AD-E5EF-4184-94C5-E9E0839C371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E531C56-1C5E-4146-A8F4-E4860BDD66F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999516B-2557-471A-9CDA-C547AD1BD19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CB9E-AA5C-4AE5-BACA-1FDAC6A691C0}">
  <dimension ref="A2:AE38"/>
  <sheetViews>
    <sheetView showGridLines="0" tabSelected="1" zoomScale="85" zoomScaleNormal="85" workbookViewId="0">
      <selection activeCell="Z30" sqref="Z30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380" bestFit="1" customWidth="1"/>
    <col min="4" max="4" width="12.28515625" style="380" customWidth="1"/>
    <col min="5" max="5" width="10.7109375" style="380" customWidth="1"/>
    <col min="6" max="8" width="10.28515625" style="380" customWidth="1"/>
    <col min="9" max="9" width="11.28515625" style="380" customWidth="1"/>
    <col min="10" max="11" width="7.7109375" style="380" customWidth="1"/>
    <col min="12" max="12" width="10" style="380" customWidth="1"/>
    <col min="13" max="13" width="10.140625" style="380" customWidth="1"/>
    <col min="14" max="15" width="9.140625" style="380"/>
    <col min="16" max="18" width="7.7109375" style="380" customWidth="1"/>
    <col min="19" max="19" width="8.42578125" style="380" customWidth="1"/>
    <col min="20" max="23" width="7.7109375" style="380" customWidth="1"/>
    <col min="24" max="25" width="9.140625" style="380"/>
    <col min="26" max="26" width="17" style="380" customWidth="1"/>
    <col min="27" max="27" width="10.28515625" style="380" customWidth="1"/>
    <col min="28" max="29" width="9.140625" style="380"/>
    <col min="30" max="30" width="12.85546875" style="380" bestFit="1" customWidth="1"/>
    <col min="31" max="16384" width="9.140625" style="380"/>
  </cols>
  <sheetData>
    <row r="2" spans="2:31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383" t="s">
        <v>633</v>
      </c>
      <c r="I2" s="172"/>
      <c r="J2" s="72"/>
      <c r="K2" s="862"/>
      <c r="L2" s="383" t="s">
        <v>638</v>
      </c>
      <c r="M2" s="72"/>
      <c r="N2" s="172"/>
      <c r="O2" s="172"/>
      <c r="P2" s="789" t="s">
        <v>604</v>
      </c>
      <c r="Q2" s="172"/>
      <c r="R2" s="172"/>
      <c r="S2" s="172"/>
      <c r="T2" s="172"/>
      <c r="U2" s="172"/>
      <c r="V2" s="80" t="s">
        <v>13</v>
      </c>
      <c r="W2" s="624" t="s">
        <v>17</v>
      </c>
      <c r="X2" s="172"/>
      <c r="Y2" s="172"/>
      <c r="Z2" s="172"/>
      <c r="AA2" s="172"/>
      <c r="AB2" s="172"/>
      <c r="AC2" s="72"/>
    </row>
    <row r="3" spans="2:31" x14ac:dyDescent="0.25">
      <c r="B3" s="94">
        <v>76</v>
      </c>
      <c r="C3" s="257">
        <v>241</v>
      </c>
      <c r="D3" s="791">
        <v>-3</v>
      </c>
      <c r="E3" s="382">
        <f>C3+D3</f>
        <v>238</v>
      </c>
      <c r="F3" s="381"/>
      <c r="G3" s="381"/>
      <c r="H3" s="94" t="s">
        <v>324</v>
      </c>
      <c r="I3" s="381" t="s">
        <v>634</v>
      </c>
      <c r="J3" s="382"/>
      <c r="L3" s="94" t="s">
        <v>13</v>
      </c>
      <c r="M3" s="382" t="s">
        <v>644</v>
      </c>
      <c r="N3" s="381"/>
      <c r="O3" s="381"/>
      <c r="P3" s="94" t="s">
        <v>606</v>
      </c>
      <c r="Q3" s="381"/>
      <c r="R3" s="381"/>
      <c r="S3" s="381"/>
      <c r="V3" s="163">
        <v>0.70399999999999996</v>
      </c>
      <c r="W3" s="786">
        <v>0.44</v>
      </c>
      <c r="Y3" s="381"/>
      <c r="Z3" s="381"/>
      <c r="AA3" s="381"/>
      <c r="AC3" s="382"/>
    </row>
    <row r="4" spans="2:31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860" t="s">
        <v>13</v>
      </c>
      <c r="I4" s="568" t="s">
        <v>635</v>
      </c>
      <c r="J4" s="382"/>
      <c r="L4" s="95" t="s">
        <v>17</v>
      </c>
      <c r="M4" s="97" t="s">
        <v>645</v>
      </c>
      <c r="N4" s="381"/>
      <c r="O4" s="381"/>
      <c r="P4" s="94" t="s">
        <v>605</v>
      </c>
      <c r="Q4" s="381"/>
      <c r="R4" s="381"/>
      <c r="S4" s="381"/>
      <c r="V4" s="787">
        <v>0.28000000000000003</v>
      </c>
      <c r="W4" s="788">
        <v>0.49</v>
      </c>
      <c r="Y4" s="381"/>
      <c r="Z4" s="381"/>
      <c r="AA4" s="381"/>
      <c r="AC4" s="382"/>
    </row>
    <row r="5" spans="2:31" x14ac:dyDescent="0.25">
      <c r="B5" s="653">
        <v>96</v>
      </c>
      <c r="C5" s="654">
        <v>293.89999999999998</v>
      </c>
      <c r="D5" s="792">
        <v>1</v>
      </c>
      <c r="E5" s="655">
        <f>C5+D5</f>
        <v>294.89999999999998</v>
      </c>
      <c r="F5" s="381"/>
      <c r="G5" s="381"/>
      <c r="H5" s="861" t="s">
        <v>17</v>
      </c>
      <c r="I5" s="96" t="s">
        <v>636</v>
      </c>
      <c r="J5" s="97"/>
      <c r="K5" s="381"/>
      <c r="L5" s="381"/>
      <c r="M5" s="381"/>
      <c r="N5" s="381"/>
      <c r="O5" s="381"/>
      <c r="P5" s="94" t="s">
        <v>607</v>
      </c>
      <c r="Q5" s="381"/>
      <c r="R5" s="381"/>
      <c r="S5" s="381"/>
      <c r="V5" s="842">
        <v>5</v>
      </c>
      <c r="W5" s="843">
        <v>3.6</v>
      </c>
      <c r="Y5" s="381"/>
      <c r="Z5" s="381"/>
      <c r="AA5" s="381"/>
      <c r="AC5" s="382"/>
    </row>
    <row r="6" spans="2:31" x14ac:dyDescent="0.25">
      <c r="B6" s="826"/>
      <c r="C6" s="54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631</v>
      </c>
      <c r="Q6" s="96"/>
      <c r="R6" s="96"/>
      <c r="S6" s="96"/>
      <c r="T6" s="96"/>
      <c r="U6" s="96"/>
      <c r="V6" s="790">
        <v>0</v>
      </c>
      <c r="W6" s="652">
        <v>0.7</v>
      </c>
      <c r="Y6" s="381"/>
      <c r="Z6" s="381"/>
      <c r="AA6" s="381"/>
      <c r="AC6" s="382"/>
    </row>
    <row r="7" spans="2:31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Y7" s="381"/>
      <c r="Z7" s="381"/>
      <c r="AA7" s="381"/>
      <c r="AC7" s="382"/>
    </row>
    <row r="8" spans="2:31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0" t="s">
        <v>516</v>
      </c>
      <c r="K8" s="661"/>
      <c r="L8" s="660" t="s">
        <v>643</v>
      </c>
      <c r="M8" s="662"/>
      <c r="N8" s="662" t="s">
        <v>642</v>
      </c>
      <c r="O8" s="661"/>
      <c r="P8" s="660" t="s">
        <v>517</v>
      </c>
      <c r="Q8" s="662"/>
      <c r="R8" s="662" t="s">
        <v>603</v>
      </c>
      <c r="S8" s="661"/>
      <c r="T8" s="660" t="s">
        <v>518</v>
      </c>
      <c r="U8" s="662"/>
      <c r="V8" s="662" t="s">
        <v>576</v>
      </c>
      <c r="W8" s="661"/>
      <c r="X8" s="660" t="s">
        <v>504</v>
      </c>
      <c r="Y8" s="661"/>
      <c r="Z8" s="660" t="s">
        <v>646</v>
      </c>
      <c r="AA8" s="661" t="s">
        <v>647</v>
      </c>
      <c r="AB8" s="662" t="s">
        <v>505</v>
      </c>
      <c r="AC8" s="661" t="s">
        <v>506</v>
      </c>
      <c r="AD8" s="656"/>
      <c r="AE8" s="656"/>
    </row>
    <row r="9" spans="2:31" x14ac:dyDescent="0.25">
      <c r="B9" s="94"/>
      <c r="C9" s="381"/>
      <c r="D9" s="663"/>
      <c r="E9" s="657"/>
      <c r="F9" s="663"/>
      <c r="G9" s="92"/>
      <c r="H9" s="92"/>
      <c r="I9" s="657"/>
      <c r="J9" s="663"/>
      <c r="K9" s="657"/>
      <c r="L9" s="663"/>
      <c r="M9" s="92"/>
      <c r="N9" s="92"/>
      <c r="O9" s="657"/>
      <c r="P9" s="764"/>
      <c r="Q9" s="92"/>
      <c r="R9" s="92"/>
      <c r="S9" s="657"/>
      <c r="T9" s="663"/>
      <c r="U9" s="92"/>
      <c r="V9" s="92"/>
      <c r="W9" s="657"/>
      <c r="X9" s="663"/>
      <c r="Y9" s="657"/>
      <c r="Z9" s="663"/>
      <c r="AA9" s="657"/>
      <c r="AB9" s="92"/>
      <c r="AC9" s="657"/>
    </row>
    <row r="10" spans="2:31" x14ac:dyDescent="0.25">
      <c r="B10" s="793"/>
      <c r="C10" s="82" t="s">
        <v>610</v>
      </c>
      <c r="D10" s="809">
        <v>250.48</v>
      </c>
      <c r="E10" s="810">
        <v>249.36</v>
      </c>
      <c r="F10" s="844">
        <f>$B$3-(D10-$E$3)</f>
        <v>63.52000000000001</v>
      </c>
      <c r="G10" s="845">
        <f>$B$3-(E10-$E$3)</f>
        <v>64.639999999999986</v>
      </c>
      <c r="H10" s="817" t="s">
        <v>651</v>
      </c>
      <c r="I10" s="851" t="s">
        <v>640</v>
      </c>
      <c r="J10" s="856">
        <v>25.7</v>
      </c>
      <c r="K10" s="852">
        <v>24.8</v>
      </c>
      <c r="L10" s="856">
        <v>49</v>
      </c>
      <c r="M10" s="855">
        <v>49</v>
      </c>
      <c r="N10" s="858">
        <f>87.4-J10-L10</f>
        <v>12.700000000000003</v>
      </c>
      <c r="O10" s="859">
        <f>87.4-K10-M10</f>
        <v>13.600000000000009</v>
      </c>
      <c r="P10" s="666">
        <v>-2.5</v>
      </c>
      <c r="Q10" s="817">
        <v>-2.8</v>
      </c>
      <c r="R10" s="817">
        <v>7.7</v>
      </c>
      <c r="S10" s="851">
        <v>7.2</v>
      </c>
      <c r="T10" s="666">
        <v>1.5</v>
      </c>
      <c r="U10" s="817">
        <v>1.5</v>
      </c>
      <c r="V10" s="853">
        <v>13.04</v>
      </c>
      <c r="W10" s="854">
        <v>14.2</v>
      </c>
      <c r="X10" s="856">
        <v>259.60000000000002</v>
      </c>
      <c r="Y10" s="852">
        <v>246.1</v>
      </c>
      <c r="Z10" s="666"/>
      <c r="AA10" s="859">
        <f>Z10-(J10+K10)/2/0.8*1.2</f>
        <v>-37.875</v>
      </c>
      <c r="AB10" s="765">
        <f>(X10+Y10)/(X10+Y10+X11+Y11)*100</f>
        <v>45.390898483080512</v>
      </c>
      <c r="AC10" s="766">
        <f>(X10+Y11)/(X10+Y10+X11+Y11)*100</f>
        <v>51.099542231397535</v>
      </c>
      <c r="AD10" s="380" t="s">
        <v>637</v>
      </c>
    </row>
    <row r="11" spans="2:31" x14ac:dyDescent="0.25">
      <c r="B11" s="794"/>
      <c r="C11" s="96" t="s">
        <v>632</v>
      </c>
      <c r="D11" s="849">
        <v>300</v>
      </c>
      <c r="E11" s="850">
        <v>300</v>
      </c>
      <c r="F11" s="846">
        <f>$B$5-(D11-$E$5)</f>
        <v>90.899999999999977</v>
      </c>
      <c r="G11" s="847">
        <f>$B$5-(E11-$E$5)</f>
        <v>90.899999999999977</v>
      </c>
      <c r="H11" s="817" t="s">
        <v>641</v>
      </c>
      <c r="I11" s="851" t="s">
        <v>641</v>
      </c>
      <c r="J11" s="856">
        <v>25.5</v>
      </c>
      <c r="K11" s="852">
        <v>26</v>
      </c>
      <c r="L11" s="856">
        <v>39</v>
      </c>
      <c r="M11" s="855">
        <v>39</v>
      </c>
      <c r="N11" s="858">
        <f>96.4-J11-L11</f>
        <v>31.900000000000006</v>
      </c>
      <c r="O11" s="859">
        <f>96.4-K11-M11</f>
        <v>31.400000000000006</v>
      </c>
      <c r="P11" s="857">
        <v>-2.1</v>
      </c>
      <c r="Q11" s="853">
        <v>-2.1</v>
      </c>
      <c r="R11" s="817">
        <v>4.8</v>
      </c>
      <c r="S11" s="851">
        <v>5.5</v>
      </c>
      <c r="T11" s="666">
        <v>-1.6</v>
      </c>
      <c r="U11" s="817">
        <v>-1.6</v>
      </c>
      <c r="V11" s="855">
        <v>13.1</v>
      </c>
      <c r="W11" s="851">
        <v>13.3</v>
      </c>
      <c r="X11" s="856">
        <v>298.7</v>
      </c>
      <c r="Y11" s="852">
        <v>309.7</v>
      </c>
      <c r="Z11" s="666">
        <v>60.9</v>
      </c>
      <c r="AA11" s="859">
        <f>Z11-(J11+K11)/2/0.8*0.9</f>
        <v>31.931249999999999</v>
      </c>
      <c r="AB11" s="784"/>
      <c r="AC11" s="676"/>
      <c r="AD11" s="180" t="s">
        <v>639</v>
      </c>
    </row>
    <row r="12" spans="2:31" x14ac:dyDescent="0.25">
      <c r="B12" s="94"/>
      <c r="C12" s="381"/>
      <c r="D12" s="663"/>
      <c r="E12" s="657"/>
      <c r="F12" s="552"/>
      <c r="G12" s="563"/>
      <c r="H12" s="563"/>
      <c r="I12" s="564"/>
      <c r="J12" s="552"/>
      <c r="K12" s="564"/>
      <c r="L12" s="552"/>
      <c r="M12" s="563"/>
      <c r="N12" s="563"/>
      <c r="O12" s="564"/>
      <c r="P12" s="848"/>
      <c r="Q12" s="563"/>
      <c r="R12" s="563"/>
      <c r="S12" s="564"/>
      <c r="T12" s="552"/>
      <c r="U12" s="563"/>
      <c r="V12" s="563"/>
      <c r="W12" s="564"/>
      <c r="X12" s="552"/>
      <c r="Y12" s="564"/>
      <c r="Z12" s="663"/>
      <c r="AA12" s="657"/>
      <c r="AB12" s="92"/>
      <c r="AC12" s="657"/>
    </row>
    <row r="13" spans="2:31" x14ac:dyDescent="0.25">
      <c r="B13" s="793"/>
      <c r="C13" s="82" t="s">
        <v>610</v>
      </c>
      <c r="D13" s="809">
        <v>248.8</v>
      </c>
      <c r="E13" s="810">
        <v>248.71</v>
      </c>
      <c r="F13" s="844">
        <f>$B$3-(D13-$E$3)</f>
        <v>65.199999999999989</v>
      </c>
      <c r="G13" s="845">
        <f>$B$3-(E13-$E$3)</f>
        <v>65.289999999999992</v>
      </c>
      <c r="H13" s="817" t="s">
        <v>653</v>
      </c>
      <c r="I13" s="851" t="s">
        <v>653</v>
      </c>
      <c r="J13" s="856">
        <v>26.4</v>
      </c>
      <c r="K13" s="852">
        <v>25.7</v>
      </c>
      <c r="L13" s="856">
        <v>50.2</v>
      </c>
      <c r="M13" s="855">
        <v>50.3</v>
      </c>
      <c r="N13" s="858">
        <f>87.4-J13-L13</f>
        <v>10.800000000000004</v>
      </c>
      <c r="O13" s="859">
        <f>87.4-K13-M13</f>
        <v>11.400000000000006</v>
      </c>
      <c r="P13" s="666">
        <v>2.9</v>
      </c>
      <c r="Q13" s="817">
        <v>2.6</v>
      </c>
      <c r="R13" s="817"/>
      <c r="S13" s="851"/>
      <c r="T13" s="666">
        <v>2.5</v>
      </c>
      <c r="U13" s="817">
        <v>2.5</v>
      </c>
      <c r="V13" s="853">
        <v>13.32</v>
      </c>
      <c r="W13" s="854">
        <v>13.95</v>
      </c>
      <c r="X13" s="856"/>
      <c r="Y13" s="852"/>
      <c r="Z13" s="666">
        <v>46.8</v>
      </c>
      <c r="AA13" s="859">
        <f>Z13-(J13+K13)/2/0.8*1.2</f>
        <v>7.7250000000000085</v>
      </c>
      <c r="AB13" s="765" t="e">
        <f>(X13+Y13)/(X13+Y13+X14+Y14)*100</f>
        <v>#DIV/0!</v>
      </c>
      <c r="AC13" s="766" t="e">
        <f>(X13+Y14)/(X13+Y13+X14+Y14)*100</f>
        <v>#DIV/0!</v>
      </c>
    </row>
    <row r="14" spans="2:31" x14ac:dyDescent="0.25">
      <c r="B14" s="794"/>
      <c r="C14" s="96" t="s">
        <v>648</v>
      </c>
      <c r="D14" s="849">
        <v>300.10000000000002</v>
      </c>
      <c r="E14" s="850">
        <v>299.98</v>
      </c>
      <c r="F14" s="846">
        <f>$B$5-(D14-$E$5)</f>
        <v>90.799999999999955</v>
      </c>
      <c r="G14" s="847">
        <f>$B$5-(E14-$E$5)</f>
        <v>90.919999999999959</v>
      </c>
      <c r="H14" s="817" t="s">
        <v>652</v>
      </c>
      <c r="I14" s="851" t="s">
        <v>652</v>
      </c>
      <c r="J14" s="856">
        <v>26.3</v>
      </c>
      <c r="K14" s="852">
        <v>24.6</v>
      </c>
      <c r="L14" s="856">
        <v>44</v>
      </c>
      <c r="M14" s="855">
        <v>44</v>
      </c>
      <c r="N14" s="858">
        <f>96.4-J14-L14</f>
        <v>26.100000000000009</v>
      </c>
      <c r="O14" s="859">
        <f>96.4-K14-M14</f>
        <v>27.800000000000011</v>
      </c>
      <c r="P14" s="857">
        <v>2.5</v>
      </c>
      <c r="Q14" s="853">
        <v>2.2999999999999998</v>
      </c>
      <c r="R14" s="817"/>
      <c r="S14" s="851"/>
      <c r="T14" s="666">
        <v>-1</v>
      </c>
      <c r="U14" s="817">
        <v>-1</v>
      </c>
      <c r="V14" s="855">
        <v>12</v>
      </c>
      <c r="W14" s="852">
        <v>13</v>
      </c>
      <c r="X14" s="856"/>
      <c r="Y14" s="852"/>
      <c r="Z14" s="666">
        <v>43.1</v>
      </c>
      <c r="AA14" s="859">
        <f>Z14-(J14+K14)/2/0.8*0.9</f>
        <v>14.468749999999996</v>
      </c>
      <c r="AB14" s="784"/>
      <c r="AC14" s="676"/>
    </row>
    <row r="15" spans="2:31" x14ac:dyDescent="0.25">
      <c r="B15" s="94"/>
      <c r="C15" s="381"/>
      <c r="D15" s="663"/>
      <c r="E15" s="657"/>
      <c r="F15" s="552"/>
      <c r="G15" s="563"/>
      <c r="H15" s="563"/>
      <c r="I15" s="564"/>
      <c r="J15" s="552"/>
      <c r="K15" s="564"/>
      <c r="L15" s="552"/>
      <c r="M15" s="563"/>
      <c r="N15" s="563"/>
      <c r="O15" s="564"/>
      <c r="P15" s="848"/>
      <c r="Q15" s="563"/>
      <c r="R15" s="563"/>
      <c r="S15" s="564"/>
      <c r="T15" s="552"/>
      <c r="U15" s="563"/>
      <c r="V15" s="563"/>
      <c r="W15" s="564"/>
      <c r="X15" s="552"/>
      <c r="Y15" s="564"/>
      <c r="Z15" s="663"/>
      <c r="AA15" s="657"/>
      <c r="AB15" s="92"/>
      <c r="AC15" s="657"/>
    </row>
    <row r="16" spans="2:31" x14ac:dyDescent="0.25">
      <c r="B16" s="793"/>
      <c r="C16" s="82" t="s">
        <v>658</v>
      </c>
      <c r="D16" s="809">
        <v>244.4</v>
      </c>
      <c r="E16" s="810">
        <v>244.4</v>
      </c>
      <c r="F16" s="844">
        <f>$B$3-(D16-$E$3)</f>
        <v>69.599999999999994</v>
      </c>
      <c r="G16" s="845">
        <f>$B$3-(E16-$E$3)</f>
        <v>69.599999999999994</v>
      </c>
      <c r="H16" s="817"/>
      <c r="I16" s="851"/>
      <c r="J16" s="856"/>
      <c r="K16" s="852"/>
      <c r="L16" s="856"/>
      <c r="M16" s="855"/>
      <c r="N16" s="858">
        <f>87.4-J16-L16</f>
        <v>87.4</v>
      </c>
      <c r="O16" s="859">
        <f>87.4-K16-M16</f>
        <v>87.4</v>
      </c>
      <c r="P16" s="666"/>
      <c r="Q16" s="817"/>
      <c r="R16" s="817"/>
      <c r="S16" s="851"/>
      <c r="T16" s="666"/>
      <c r="U16" s="817"/>
      <c r="V16" s="853"/>
      <c r="W16" s="854"/>
      <c r="X16" s="856"/>
      <c r="Y16" s="852"/>
      <c r="Z16" s="666"/>
      <c r="AA16" s="859">
        <f>Z16-(J16+K16)/2/0.8*1.2</f>
        <v>0</v>
      </c>
      <c r="AB16" s="765" t="e">
        <f>(X16+Y16)/(X16+Y16+X17+Y17)*100</f>
        <v>#DIV/0!</v>
      </c>
      <c r="AC16" s="766" t="e">
        <f>(X16+Y17)/(X16+Y16+X17+Y17)*100</f>
        <v>#DIV/0!</v>
      </c>
    </row>
    <row r="17" spans="1:29" x14ac:dyDescent="0.25">
      <c r="B17" s="794"/>
      <c r="C17" s="96"/>
      <c r="D17" s="849">
        <v>291.60000000000002</v>
      </c>
      <c r="E17" s="850">
        <v>291.5</v>
      </c>
      <c r="F17" s="846">
        <f>$B$5-(D17-$E$5)</f>
        <v>99.299999999999955</v>
      </c>
      <c r="G17" s="847">
        <f>$B$5-(E17-$E$5)</f>
        <v>99.399999999999977</v>
      </c>
      <c r="H17" s="817"/>
      <c r="I17" s="851"/>
      <c r="J17" s="856"/>
      <c r="K17" s="852"/>
      <c r="L17" s="856"/>
      <c r="M17" s="855"/>
      <c r="N17" s="858">
        <f>96.4-J17-L17</f>
        <v>96.4</v>
      </c>
      <c r="O17" s="859">
        <f>96.4-K17-M17</f>
        <v>96.4</v>
      </c>
      <c r="P17" s="857"/>
      <c r="Q17" s="853"/>
      <c r="R17" s="817"/>
      <c r="S17" s="851"/>
      <c r="T17" s="666"/>
      <c r="U17" s="817"/>
      <c r="V17" s="855"/>
      <c r="W17" s="851"/>
      <c r="X17" s="856"/>
      <c r="Y17" s="852"/>
      <c r="Z17" s="666"/>
      <c r="AA17" s="859">
        <f>Z17-(J17+K17)/2/0.8*0.9</f>
        <v>0</v>
      </c>
      <c r="AB17" s="784"/>
      <c r="AC17" s="676"/>
    </row>
    <row r="18" spans="1:29" x14ac:dyDescent="0.25">
      <c r="B18" s="94"/>
      <c r="C18" s="381"/>
      <c r="D18" s="663"/>
      <c r="E18" s="657"/>
      <c r="F18" s="552"/>
      <c r="G18" s="563"/>
      <c r="H18" s="563"/>
      <c r="I18" s="564"/>
      <c r="J18" s="552"/>
      <c r="K18" s="564"/>
      <c r="L18" s="552"/>
      <c r="M18" s="563"/>
      <c r="N18" s="563"/>
      <c r="O18" s="564"/>
      <c r="P18" s="848"/>
      <c r="Q18" s="563"/>
      <c r="R18" s="563"/>
      <c r="S18" s="564"/>
      <c r="T18" s="552"/>
      <c r="U18" s="563"/>
      <c r="V18" s="563"/>
      <c r="W18" s="564"/>
      <c r="X18" s="552"/>
      <c r="Y18" s="564"/>
      <c r="Z18" s="663"/>
      <c r="AA18" s="657"/>
      <c r="AB18" s="92"/>
      <c r="AC18" s="657"/>
    </row>
    <row r="19" spans="1:29" x14ac:dyDescent="0.25">
      <c r="B19" s="793"/>
      <c r="C19" s="82" t="s">
        <v>659</v>
      </c>
      <c r="D19" s="809">
        <v>248.1</v>
      </c>
      <c r="E19" s="810"/>
      <c r="F19" s="844">
        <f>$B$3-(D19-$E$3)</f>
        <v>65.900000000000006</v>
      </c>
      <c r="G19" s="845">
        <f>$B$3-(E19-$E$3)</f>
        <v>314</v>
      </c>
      <c r="H19" s="817"/>
      <c r="I19" s="851"/>
      <c r="J19" s="856"/>
      <c r="K19" s="852"/>
      <c r="L19" s="856"/>
      <c r="M19" s="855"/>
      <c r="N19" s="858">
        <f>87.4-J19-L19</f>
        <v>87.4</v>
      </c>
      <c r="O19" s="859">
        <f>87.4-K19-M19</f>
        <v>87.4</v>
      </c>
      <c r="P19" s="666"/>
      <c r="Q19" s="817"/>
      <c r="R19" s="817"/>
      <c r="S19" s="851"/>
      <c r="T19" s="666"/>
      <c r="U19" s="817"/>
      <c r="V19" s="853"/>
      <c r="W19" s="854"/>
      <c r="X19" s="856"/>
      <c r="Y19" s="852"/>
      <c r="Z19" s="666"/>
      <c r="AA19" s="859">
        <f>Z19-(J19+K19)/2/0.8*1.2</f>
        <v>0</v>
      </c>
      <c r="AB19" s="765" t="e">
        <f>(X19+Y19)/(X19+Y19+X20+Y20)*100</f>
        <v>#DIV/0!</v>
      </c>
      <c r="AC19" s="766" t="e">
        <f>(X19+Y20)/(X19+Y19+X20+Y20)*100</f>
        <v>#DIV/0!</v>
      </c>
    </row>
    <row r="20" spans="1:29" x14ac:dyDescent="0.25">
      <c r="B20" s="794"/>
      <c r="C20" s="96" t="s">
        <v>648</v>
      </c>
      <c r="D20" s="849">
        <v>301.39999999999998</v>
      </c>
      <c r="E20" s="850"/>
      <c r="F20" s="846">
        <f>$B$5-(D20-$E$5)</f>
        <v>89.5</v>
      </c>
      <c r="G20" s="847">
        <f>$B$5-(E20-$E$5)</f>
        <v>390.9</v>
      </c>
      <c r="H20" s="817"/>
      <c r="I20" s="851"/>
      <c r="J20" s="856"/>
      <c r="K20" s="852"/>
      <c r="L20" s="856"/>
      <c r="M20" s="855"/>
      <c r="N20" s="858">
        <f>96.4-J20-L20</f>
        <v>96.4</v>
      </c>
      <c r="O20" s="859">
        <f>96.4-K20-M20</f>
        <v>96.4</v>
      </c>
      <c r="P20" s="857"/>
      <c r="Q20" s="853"/>
      <c r="R20" s="817"/>
      <c r="S20" s="851"/>
      <c r="T20" s="666"/>
      <c r="U20" s="817"/>
      <c r="V20" s="855"/>
      <c r="W20" s="851"/>
      <c r="X20" s="856"/>
      <c r="Y20" s="852"/>
      <c r="Z20" s="666"/>
      <c r="AA20" s="859">
        <f>Z20-(J20+K20)/2/0.8*0.9</f>
        <v>0</v>
      </c>
      <c r="AB20" s="784"/>
      <c r="AC20" s="676"/>
    </row>
    <row r="21" spans="1:29" x14ac:dyDescent="0.25">
      <c r="B21" s="94"/>
      <c r="C21" s="381"/>
      <c r="D21" s="663"/>
      <c r="E21" s="657"/>
      <c r="F21" s="552"/>
      <c r="G21" s="563"/>
      <c r="H21" s="563"/>
      <c r="I21" s="564"/>
      <c r="J21" s="552"/>
      <c r="K21" s="564"/>
      <c r="L21" s="552"/>
      <c r="M21" s="563"/>
      <c r="N21" s="563"/>
      <c r="O21" s="564"/>
      <c r="P21" s="848"/>
      <c r="Q21" s="563"/>
      <c r="R21" s="563"/>
      <c r="S21" s="564"/>
      <c r="T21" s="552"/>
      <c r="U21" s="563"/>
      <c r="V21" s="563"/>
      <c r="W21" s="564"/>
      <c r="X21" s="552"/>
      <c r="Y21" s="564"/>
      <c r="Z21" s="663"/>
      <c r="AA21" s="657"/>
      <c r="AB21" s="92"/>
      <c r="AC21" s="657"/>
    </row>
    <row r="22" spans="1:29" x14ac:dyDescent="0.25">
      <c r="B22" s="793"/>
      <c r="C22" s="82" t="s">
        <v>660</v>
      </c>
      <c r="D22" s="809">
        <v>248</v>
      </c>
      <c r="E22" s="810">
        <v>248</v>
      </c>
      <c r="F22" s="844">
        <f>$B$3-(D22-$E$3)</f>
        <v>66</v>
      </c>
      <c r="G22" s="845">
        <f>$B$3-(E22-$E$3)</f>
        <v>66</v>
      </c>
      <c r="H22" s="817" t="s">
        <v>655</v>
      </c>
      <c r="I22" s="851" t="s">
        <v>655</v>
      </c>
      <c r="J22" s="856"/>
      <c r="K22" s="852"/>
      <c r="L22" s="856"/>
      <c r="M22" s="855"/>
      <c r="N22" s="858">
        <f>87.4-J22-L22</f>
        <v>87.4</v>
      </c>
      <c r="O22" s="859">
        <f>87.4-K22-M22</f>
        <v>87.4</v>
      </c>
      <c r="P22" s="666">
        <v>2.9</v>
      </c>
      <c r="Q22" s="882">
        <v>2.6</v>
      </c>
      <c r="R22" s="817">
        <v>6.2</v>
      </c>
      <c r="S22" s="851">
        <v>8.8000000000000007</v>
      </c>
      <c r="T22" s="666">
        <v>2.5</v>
      </c>
      <c r="U22" s="882">
        <v>2.5</v>
      </c>
      <c r="V22" s="853">
        <v>13.32</v>
      </c>
      <c r="W22" s="854">
        <v>14.48</v>
      </c>
      <c r="X22" s="856"/>
      <c r="Y22" s="852"/>
      <c r="Z22" s="666"/>
      <c r="AA22" s="859">
        <f>Z22-(J22+K22)/2/0.8*1.2</f>
        <v>0</v>
      </c>
      <c r="AB22" s="765" t="e">
        <f>(X22+Y22)/(X22+Y22+X23+Y23)*100</f>
        <v>#DIV/0!</v>
      </c>
      <c r="AC22" s="766" t="e">
        <f>(X22+Y23)/(X22+Y22+X23+Y23)*100</f>
        <v>#DIV/0!</v>
      </c>
    </row>
    <row r="23" spans="1:29" x14ac:dyDescent="0.25">
      <c r="B23" s="794"/>
      <c r="C23" s="96" t="s">
        <v>648</v>
      </c>
      <c r="D23" s="849">
        <v>304.39999999999998</v>
      </c>
      <c r="E23" s="850">
        <v>304.39999999999998</v>
      </c>
      <c r="F23" s="846">
        <f>$B$5-(D23-$E$5)</f>
        <v>86.5</v>
      </c>
      <c r="G23" s="847">
        <f>$B$5-(E23-$E$5)</f>
        <v>86.5</v>
      </c>
      <c r="H23" s="817" t="s">
        <v>656</v>
      </c>
      <c r="I23" s="851" t="s">
        <v>657</v>
      </c>
      <c r="J23" s="856"/>
      <c r="K23" s="852"/>
      <c r="L23" s="856"/>
      <c r="M23" s="855"/>
      <c r="N23" s="858">
        <f>96.4-J23-L23</f>
        <v>96.4</v>
      </c>
      <c r="O23" s="859">
        <f>96.4-K23-M23</f>
        <v>96.4</v>
      </c>
      <c r="P23" s="857">
        <v>2.6</v>
      </c>
      <c r="Q23" s="853">
        <v>2.2999999999999998</v>
      </c>
      <c r="R23" s="817">
        <v>3.7</v>
      </c>
      <c r="S23" s="851">
        <v>5.0999999999999996</v>
      </c>
      <c r="T23" s="666">
        <v>-1</v>
      </c>
      <c r="U23" s="882">
        <v>-1</v>
      </c>
      <c r="V23" s="855">
        <v>12</v>
      </c>
      <c r="W23" s="852">
        <v>12.92</v>
      </c>
      <c r="X23" s="856"/>
      <c r="Y23" s="852"/>
      <c r="Z23" s="666"/>
      <c r="AA23" s="859">
        <f>Z23-(J23+K23)/2/0.8*0.9</f>
        <v>0</v>
      </c>
      <c r="AB23" s="784"/>
      <c r="AC23" s="676"/>
    </row>
    <row r="24" spans="1:29" x14ac:dyDescent="0.25">
      <c r="B24" s="94"/>
      <c r="C24" s="381"/>
      <c r="D24" s="663"/>
      <c r="E24" s="657"/>
      <c r="F24" s="552"/>
      <c r="G24" s="563"/>
      <c r="H24" s="563"/>
      <c r="I24" s="564"/>
      <c r="J24" s="552"/>
      <c r="K24" s="564"/>
      <c r="L24" s="552"/>
      <c r="M24" s="563"/>
      <c r="N24" s="563"/>
      <c r="O24" s="564"/>
      <c r="P24" s="848"/>
      <c r="Q24" s="563"/>
      <c r="R24" s="563"/>
      <c r="S24" s="564"/>
      <c r="T24" s="552"/>
      <c r="U24" s="563"/>
      <c r="V24" s="563"/>
      <c r="W24" s="564"/>
      <c r="X24" s="552"/>
      <c r="Y24" s="564"/>
      <c r="Z24" s="663"/>
      <c r="AA24" s="657"/>
      <c r="AB24" s="92"/>
      <c r="AC24" s="657"/>
    </row>
    <row r="25" spans="1:29" x14ac:dyDescent="0.25">
      <c r="A25" s="380" t="s">
        <v>702</v>
      </c>
      <c r="B25" s="884">
        <v>249</v>
      </c>
      <c r="C25" s="84" t="s">
        <v>610</v>
      </c>
      <c r="D25" s="884">
        <v>248.66</v>
      </c>
      <c r="E25" s="810">
        <v>248.87</v>
      </c>
      <c r="F25" s="844">
        <f>$B$3-(D25-$E$3)</f>
        <v>65.34</v>
      </c>
      <c r="G25" s="845">
        <f>$B$3-(E25-$E$3)</f>
        <v>65.13</v>
      </c>
      <c r="H25" s="817" t="s">
        <v>700</v>
      </c>
      <c r="I25" s="851" t="s">
        <v>701</v>
      </c>
      <c r="J25" s="856">
        <v>22.98</v>
      </c>
      <c r="K25" s="852">
        <v>23.74</v>
      </c>
      <c r="L25" s="856">
        <f>35.4+15.1</f>
        <v>50.5</v>
      </c>
      <c r="M25" s="855">
        <f>35.4+15.1</f>
        <v>50.5</v>
      </c>
      <c r="N25" s="858">
        <f>87.4-J25-L25</f>
        <v>13.920000000000002</v>
      </c>
      <c r="O25" s="859">
        <f>87.4-K25-M25</f>
        <v>13.160000000000011</v>
      </c>
      <c r="P25" s="666">
        <v>-2.8</v>
      </c>
      <c r="Q25" s="817">
        <v>-2.6</v>
      </c>
      <c r="R25" s="817">
        <v>6.2</v>
      </c>
      <c r="S25" s="851">
        <v>7.3</v>
      </c>
      <c r="T25" s="666">
        <v>2</v>
      </c>
      <c r="U25" s="817">
        <v>2</v>
      </c>
      <c r="V25" s="853">
        <v>13.13</v>
      </c>
      <c r="W25" s="854">
        <v>13.87</v>
      </c>
      <c r="X25" s="856">
        <v>259.2</v>
      </c>
      <c r="Y25" s="852">
        <v>260.10000000000002</v>
      </c>
      <c r="Z25" s="666">
        <v>52</v>
      </c>
      <c r="AA25" s="859">
        <f>Z25-(J25+K25)/2/0.8*1.2</f>
        <v>16.96</v>
      </c>
      <c r="AB25" s="765">
        <f>(X25+Y25)/(X25+Y25+X26+Y26)*100</f>
        <v>45.588622596786941</v>
      </c>
      <c r="AC25" s="766">
        <f>(X25+Y26)/(X25+Y25+X26+Y26)*100</f>
        <v>50.083399174787111</v>
      </c>
    </row>
    <row r="26" spans="1:29" x14ac:dyDescent="0.25">
      <c r="B26" s="885">
        <v>305.89999999999998</v>
      </c>
      <c r="C26" s="96" t="s">
        <v>697</v>
      </c>
      <c r="D26" s="885">
        <v>304.42</v>
      </c>
      <c r="E26" s="850">
        <v>304.3</v>
      </c>
      <c r="F26" s="846">
        <f>$B$5-(D26-$E$5)</f>
        <v>86.479999999999961</v>
      </c>
      <c r="G26" s="847">
        <f>$B$5-(E26-$E$5)</f>
        <v>86.599999999999966</v>
      </c>
      <c r="H26" s="817" t="s">
        <v>699</v>
      </c>
      <c r="I26" s="851" t="s">
        <v>698</v>
      </c>
      <c r="J26" s="856">
        <v>16.54</v>
      </c>
      <c r="K26" s="852">
        <v>14.18</v>
      </c>
      <c r="L26" s="856">
        <f>31.4+15.1</f>
        <v>46.5</v>
      </c>
      <c r="M26" s="855">
        <f>31.4+15.1</f>
        <v>46.5</v>
      </c>
      <c r="N26" s="858">
        <f>96.4-J26-L26</f>
        <v>33.360000000000014</v>
      </c>
      <c r="O26" s="859">
        <f>96.4-K26-M26</f>
        <v>35.72</v>
      </c>
      <c r="P26" s="857">
        <v>-2.6</v>
      </c>
      <c r="Q26" s="853">
        <v>-2.4</v>
      </c>
      <c r="R26" s="817">
        <v>4.7</v>
      </c>
      <c r="S26" s="851">
        <v>5.0999999999999996</v>
      </c>
      <c r="T26" s="666">
        <v>-1</v>
      </c>
      <c r="U26" s="817">
        <v>-1</v>
      </c>
      <c r="V26" s="921">
        <v>12.79</v>
      </c>
      <c r="W26" s="851">
        <v>12.62</v>
      </c>
      <c r="X26" s="856">
        <v>308.5</v>
      </c>
      <c r="Y26" s="852">
        <v>311.3</v>
      </c>
      <c r="Z26" s="666">
        <v>38</v>
      </c>
      <c r="AA26" s="859">
        <f>Z26-(J26+K26)/2/0.8*0.9</f>
        <v>20.72</v>
      </c>
      <c r="AB26" s="784"/>
      <c r="AC26" s="676"/>
    </row>
    <row r="27" spans="1:29" x14ac:dyDescent="0.25">
      <c r="B27" s="94"/>
      <c r="C27" s="381"/>
      <c r="D27" s="663"/>
      <c r="E27" s="657"/>
      <c r="F27" s="552"/>
      <c r="G27" s="563"/>
      <c r="H27" s="563"/>
      <c r="I27" s="564"/>
      <c r="J27" s="552"/>
      <c r="K27" s="564"/>
      <c r="L27" s="552"/>
      <c r="M27" s="563"/>
      <c r="N27" s="563"/>
      <c r="O27" s="564"/>
      <c r="P27" s="848"/>
      <c r="Q27" s="563"/>
      <c r="R27" s="563"/>
      <c r="S27" s="564"/>
      <c r="T27" s="552"/>
      <c r="U27" s="563"/>
      <c r="V27" s="563"/>
      <c r="W27" s="564"/>
      <c r="X27" s="552"/>
      <c r="Y27" s="564"/>
      <c r="Z27" s="663"/>
      <c r="AA27" s="657"/>
      <c r="AB27" s="92"/>
      <c r="AC27" s="657"/>
    </row>
    <row r="28" spans="1:29" x14ac:dyDescent="0.25">
      <c r="B28" s="793"/>
      <c r="C28" s="82" t="s">
        <v>703</v>
      </c>
      <c r="D28" s="809">
        <v>248.75</v>
      </c>
      <c r="E28" s="810">
        <v>249.04</v>
      </c>
      <c r="F28" s="844">
        <f>$B$3-(D28-$E$3)</f>
        <v>65.25</v>
      </c>
      <c r="G28" s="845">
        <f>$B$3-(E28-$E$3)</f>
        <v>64.960000000000008</v>
      </c>
      <c r="H28" s="922" t="s">
        <v>700</v>
      </c>
      <c r="I28" s="851" t="s">
        <v>701</v>
      </c>
      <c r="J28" s="856">
        <v>22.98</v>
      </c>
      <c r="K28" s="852">
        <v>23.74</v>
      </c>
      <c r="L28" s="856">
        <f>35.4+15.1</f>
        <v>50.5</v>
      </c>
      <c r="M28" s="855">
        <f>35.4+15.1</f>
        <v>50.5</v>
      </c>
      <c r="N28" s="858">
        <f>87.4-J28-L28</f>
        <v>13.920000000000002</v>
      </c>
      <c r="O28" s="859">
        <f>87.4-K28-M28</f>
        <v>13.160000000000011</v>
      </c>
      <c r="P28" s="666">
        <v>-2.9</v>
      </c>
      <c r="Q28" s="817">
        <v>-2.6</v>
      </c>
      <c r="R28" s="922">
        <v>6.2</v>
      </c>
      <c r="S28" s="851">
        <v>7.3</v>
      </c>
      <c r="T28" s="666">
        <v>2</v>
      </c>
      <c r="U28" s="817">
        <v>2</v>
      </c>
      <c r="V28" s="853">
        <v>13.13</v>
      </c>
      <c r="W28" s="854">
        <v>13.87</v>
      </c>
      <c r="X28" s="856"/>
      <c r="Y28" s="852"/>
      <c r="Z28" s="666">
        <v>52</v>
      </c>
      <c r="AA28" s="859">
        <f>Z28-(J28+K28)/2/0.8*1.2</f>
        <v>16.96</v>
      </c>
      <c r="AB28" s="765" t="e">
        <f>(X28+Y28)/(X28+Y28+X29+Y29)*100</f>
        <v>#DIV/0!</v>
      </c>
      <c r="AC28" s="766" t="e">
        <f>(X28+Y29)/(X28+Y28+X29+Y29)*100</f>
        <v>#DIV/0!</v>
      </c>
    </row>
    <row r="29" spans="1:29" x14ac:dyDescent="0.25">
      <c r="B29" s="794"/>
      <c r="C29" s="96" t="s">
        <v>697</v>
      </c>
      <c r="D29" s="849">
        <v>304.23</v>
      </c>
      <c r="E29" s="850">
        <v>304.08</v>
      </c>
      <c r="F29" s="846">
        <f>$B$5-(D29-$E$5)</f>
        <v>86.669999999999959</v>
      </c>
      <c r="G29" s="847">
        <f>$B$5-(E29-$E$5)</f>
        <v>86.82</v>
      </c>
      <c r="H29" s="922" t="s">
        <v>699</v>
      </c>
      <c r="I29" s="851" t="s">
        <v>698</v>
      </c>
      <c r="J29" s="856">
        <v>16.54</v>
      </c>
      <c r="K29" s="852">
        <v>14.18</v>
      </c>
      <c r="L29" s="856">
        <f>31.4+15.1</f>
        <v>46.5</v>
      </c>
      <c r="M29" s="855">
        <f>31.4+15.1</f>
        <v>46.5</v>
      </c>
      <c r="N29" s="858">
        <f>96.4-J29-L29</f>
        <v>33.360000000000014</v>
      </c>
      <c r="O29" s="859">
        <f>96.4-K29-M29</f>
        <v>35.72</v>
      </c>
      <c r="P29" s="857">
        <v>-2.6</v>
      </c>
      <c r="Q29" s="853">
        <v>-2.4</v>
      </c>
      <c r="R29" s="922">
        <v>4.7</v>
      </c>
      <c r="S29" s="851">
        <v>5.0999999999999996</v>
      </c>
      <c r="T29" s="666">
        <v>-1.2</v>
      </c>
      <c r="U29" s="817">
        <v>-1.2</v>
      </c>
      <c r="V29" s="921">
        <v>12.79</v>
      </c>
      <c r="W29" s="851">
        <v>12.62</v>
      </c>
      <c r="X29" s="856"/>
      <c r="Y29" s="852"/>
      <c r="Z29" s="666">
        <v>30</v>
      </c>
      <c r="AA29" s="859">
        <f>Z29-(J29+K29)/2/0.8*0.9</f>
        <v>12.719999999999999</v>
      </c>
      <c r="AB29" s="784"/>
      <c r="AC29" s="676"/>
    </row>
    <row r="30" spans="1:29" x14ac:dyDescent="0.25">
      <c r="B30" s="94"/>
      <c r="C30" s="381"/>
      <c r="D30" s="663"/>
      <c r="E30" s="657"/>
      <c r="F30" s="552"/>
      <c r="G30" s="563"/>
      <c r="H30" s="563"/>
      <c r="I30" s="564"/>
      <c r="J30" s="552"/>
      <c r="K30" s="564"/>
      <c r="L30" s="552"/>
      <c r="M30" s="563"/>
      <c r="N30" s="563"/>
      <c r="O30" s="564"/>
      <c r="P30" s="848"/>
      <c r="Q30" s="563"/>
      <c r="R30" s="563"/>
      <c r="S30" s="564"/>
      <c r="T30" s="552"/>
      <c r="U30" s="563"/>
      <c r="V30" s="563"/>
      <c r="W30" s="564"/>
      <c r="X30" s="552"/>
      <c r="Y30" s="564"/>
      <c r="Z30" s="663"/>
      <c r="AA30" s="657"/>
      <c r="AB30" s="92"/>
      <c r="AC30" s="657"/>
    </row>
    <row r="31" spans="1:29" x14ac:dyDescent="0.25">
      <c r="B31" s="793"/>
      <c r="C31" s="82"/>
      <c r="D31" s="809"/>
      <c r="E31" s="810"/>
      <c r="F31" s="844">
        <f>$B$3-(D31-$E$3)</f>
        <v>314</v>
      </c>
      <c r="G31" s="845">
        <f>$B$3-(E31-$E$3)</f>
        <v>314</v>
      </c>
      <c r="H31" s="817"/>
      <c r="I31" s="851"/>
      <c r="J31" s="856"/>
      <c r="K31" s="852"/>
      <c r="L31" s="856"/>
      <c r="M31" s="855"/>
      <c r="N31" s="858">
        <f>87.4-J31-L31</f>
        <v>87.4</v>
      </c>
      <c r="O31" s="859">
        <f>87.4-K31-M31</f>
        <v>87.4</v>
      </c>
      <c r="P31" s="666"/>
      <c r="Q31" s="817"/>
      <c r="R31" s="817"/>
      <c r="S31" s="851"/>
      <c r="T31" s="666"/>
      <c r="U31" s="817"/>
      <c r="V31" s="853"/>
      <c r="W31" s="854"/>
      <c r="X31" s="856"/>
      <c r="Y31" s="852"/>
      <c r="Z31" s="666"/>
      <c r="AA31" s="859">
        <f>Z31-(J31+K31)/2/0.8*1.2</f>
        <v>0</v>
      </c>
      <c r="AB31" s="765" t="e">
        <f>(X31+Y31)/(X31+Y31+X32+Y32)*100</f>
        <v>#DIV/0!</v>
      </c>
      <c r="AC31" s="766" t="e">
        <f>(X31+Y32)/(X31+Y31+X32+Y32)*100</f>
        <v>#DIV/0!</v>
      </c>
    </row>
    <row r="32" spans="1:29" x14ac:dyDescent="0.25">
      <c r="B32" s="794"/>
      <c r="C32" s="96"/>
      <c r="D32" s="849"/>
      <c r="E32" s="850"/>
      <c r="F32" s="846">
        <f>$B$5-(D32-$E$5)</f>
        <v>390.9</v>
      </c>
      <c r="G32" s="847">
        <f>$B$5-(E32-$E$5)</f>
        <v>390.9</v>
      </c>
      <c r="H32" s="817"/>
      <c r="I32" s="851"/>
      <c r="J32" s="856"/>
      <c r="K32" s="852"/>
      <c r="L32" s="856"/>
      <c r="M32" s="855"/>
      <c r="N32" s="858">
        <f>96.4-J32-L32</f>
        <v>96.4</v>
      </c>
      <c r="O32" s="859">
        <f>96.4-K32-M32</f>
        <v>96.4</v>
      </c>
      <c r="P32" s="857"/>
      <c r="Q32" s="853"/>
      <c r="R32" s="817"/>
      <c r="S32" s="851"/>
      <c r="T32" s="666"/>
      <c r="U32" s="817"/>
      <c r="V32" s="855"/>
      <c r="W32" s="851"/>
      <c r="X32" s="856"/>
      <c r="Y32" s="852"/>
      <c r="Z32" s="666"/>
      <c r="AA32" s="859">
        <f>Z32-(J32+K32)/2/0.8*0.9</f>
        <v>0</v>
      </c>
      <c r="AB32" s="784"/>
      <c r="AC32" s="676"/>
    </row>
    <row r="33" spans="2:29" x14ac:dyDescent="0.25">
      <c r="B33" s="94"/>
      <c r="C33" s="381"/>
      <c r="D33" s="663"/>
      <c r="E33" s="657"/>
      <c r="F33" s="552"/>
      <c r="G33" s="563"/>
      <c r="H33" s="563"/>
      <c r="I33" s="564"/>
      <c r="J33" s="552"/>
      <c r="K33" s="564"/>
      <c r="L33" s="552"/>
      <c r="M33" s="563"/>
      <c r="N33" s="563"/>
      <c r="O33" s="564"/>
      <c r="P33" s="848"/>
      <c r="Q33" s="563"/>
      <c r="R33" s="563"/>
      <c r="S33" s="564"/>
      <c r="T33" s="552"/>
      <c r="U33" s="563"/>
      <c r="V33" s="563"/>
      <c r="W33" s="564"/>
      <c r="X33" s="552"/>
      <c r="Y33" s="564"/>
      <c r="Z33" s="663"/>
      <c r="AA33" s="657"/>
      <c r="AB33" s="92"/>
      <c r="AC33" s="657"/>
    </row>
    <row r="34" spans="2:29" x14ac:dyDescent="0.25">
      <c r="B34" s="793"/>
      <c r="C34" s="82"/>
      <c r="D34" s="809"/>
      <c r="E34" s="810"/>
      <c r="F34" s="844">
        <f>$B$3-(D34-$E$3)</f>
        <v>314</v>
      </c>
      <c r="G34" s="845">
        <f>$B$3-(E34-$E$3)</f>
        <v>314</v>
      </c>
      <c r="H34" s="817"/>
      <c r="I34" s="851"/>
      <c r="J34" s="856"/>
      <c r="K34" s="852"/>
      <c r="L34" s="856"/>
      <c r="M34" s="855"/>
      <c r="N34" s="858">
        <f>87.4-J34-L34</f>
        <v>87.4</v>
      </c>
      <c r="O34" s="859">
        <f>87.4-K34-M34</f>
        <v>87.4</v>
      </c>
      <c r="P34" s="666"/>
      <c r="Q34" s="817"/>
      <c r="R34" s="817"/>
      <c r="S34" s="851"/>
      <c r="T34" s="666"/>
      <c r="U34" s="817"/>
      <c r="V34" s="853"/>
      <c r="W34" s="854"/>
      <c r="X34" s="856"/>
      <c r="Y34" s="852"/>
      <c r="Z34" s="666"/>
      <c r="AA34" s="859">
        <f>Z34-(J34+K34)/2/0.8*1.2</f>
        <v>0</v>
      </c>
      <c r="AB34" s="765" t="e">
        <f>(X34+Y34)/(X34+Y34+X35+Y35)*100</f>
        <v>#DIV/0!</v>
      </c>
      <c r="AC34" s="766" t="e">
        <f>(X34+Y35)/(X34+Y34+X35+Y35)*100</f>
        <v>#DIV/0!</v>
      </c>
    </row>
    <row r="35" spans="2:29" x14ac:dyDescent="0.25">
      <c r="B35" s="794"/>
      <c r="C35" s="96"/>
      <c r="D35" s="849"/>
      <c r="E35" s="850"/>
      <c r="F35" s="846">
        <f>$B$5-(D35-$E$5)</f>
        <v>390.9</v>
      </c>
      <c r="G35" s="847">
        <f>$B$5-(E35-$E$5)</f>
        <v>390.9</v>
      </c>
      <c r="H35" s="817"/>
      <c r="I35" s="851"/>
      <c r="J35" s="856"/>
      <c r="K35" s="852"/>
      <c r="L35" s="856"/>
      <c r="M35" s="855"/>
      <c r="N35" s="858">
        <f>96.4-J35-L35</f>
        <v>96.4</v>
      </c>
      <c r="O35" s="859">
        <f>96.4-K35-M35</f>
        <v>96.4</v>
      </c>
      <c r="P35" s="857"/>
      <c r="Q35" s="853"/>
      <c r="R35" s="817"/>
      <c r="S35" s="851"/>
      <c r="T35" s="666"/>
      <c r="U35" s="817"/>
      <c r="V35" s="855"/>
      <c r="W35" s="851"/>
      <c r="X35" s="856"/>
      <c r="Y35" s="852"/>
      <c r="Z35" s="666"/>
      <c r="AA35" s="859">
        <f>Z35-(J35+K35)/2/0.8*0.9</f>
        <v>0</v>
      </c>
      <c r="AB35" s="784"/>
      <c r="AC35" s="676"/>
    </row>
    <row r="36" spans="2:29" x14ac:dyDescent="0.25">
      <c r="B36" s="94"/>
      <c r="C36" s="381"/>
      <c r="D36" s="663"/>
      <c r="E36" s="657"/>
      <c r="F36" s="552"/>
      <c r="G36" s="563"/>
      <c r="H36" s="563"/>
      <c r="I36" s="564"/>
      <c r="J36" s="552"/>
      <c r="K36" s="564"/>
      <c r="L36" s="552"/>
      <c r="M36" s="563"/>
      <c r="N36" s="563"/>
      <c r="O36" s="564"/>
      <c r="P36" s="848"/>
      <c r="Q36" s="563"/>
      <c r="R36" s="563"/>
      <c r="S36" s="564"/>
      <c r="T36" s="552"/>
      <c r="U36" s="563"/>
      <c r="V36" s="563"/>
      <c r="W36" s="564"/>
      <c r="X36" s="552"/>
      <c r="Y36" s="564"/>
      <c r="Z36" s="663"/>
      <c r="AA36" s="657"/>
      <c r="AB36" s="92"/>
      <c r="AC36" s="657"/>
    </row>
    <row r="37" spans="2:29" x14ac:dyDescent="0.25">
      <c r="B37" s="793"/>
      <c r="C37" s="82"/>
      <c r="D37" s="809"/>
      <c r="E37" s="810"/>
      <c r="F37" s="844">
        <f>$B$3-(D37-$E$3)</f>
        <v>314</v>
      </c>
      <c r="G37" s="845">
        <f>$B$3-(E37-$E$3)</f>
        <v>314</v>
      </c>
      <c r="H37" s="817"/>
      <c r="I37" s="851"/>
      <c r="J37" s="856"/>
      <c r="K37" s="852"/>
      <c r="L37" s="856"/>
      <c r="M37" s="855"/>
      <c r="N37" s="858">
        <f>87.4-J37-L37</f>
        <v>87.4</v>
      </c>
      <c r="O37" s="859">
        <f>87.4-K37-M37</f>
        <v>87.4</v>
      </c>
      <c r="P37" s="666"/>
      <c r="Q37" s="817"/>
      <c r="R37" s="817"/>
      <c r="S37" s="851"/>
      <c r="T37" s="666"/>
      <c r="U37" s="817"/>
      <c r="V37" s="853"/>
      <c r="W37" s="854"/>
      <c r="X37" s="856"/>
      <c r="Y37" s="852"/>
      <c r="Z37" s="666"/>
      <c r="AA37" s="859">
        <f>Z37-(J37+K37)/2/0.8*1.2</f>
        <v>0</v>
      </c>
      <c r="AB37" s="765" t="e">
        <f>(X37+Y37)/(X37+Y37+X38+Y38)*100</f>
        <v>#DIV/0!</v>
      </c>
      <c r="AC37" s="766" t="e">
        <f>(X37+Y38)/(X37+Y37+X38+Y38)*100</f>
        <v>#DIV/0!</v>
      </c>
    </row>
    <row r="38" spans="2:29" x14ac:dyDescent="0.25">
      <c r="B38" s="794"/>
      <c r="C38" s="96"/>
      <c r="D38" s="849"/>
      <c r="E38" s="850"/>
      <c r="F38" s="846">
        <f>$B$5-(D38-$E$5)</f>
        <v>390.9</v>
      </c>
      <c r="G38" s="847">
        <f>$B$5-(E38-$E$5)</f>
        <v>390.9</v>
      </c>
      <c r="H38" s="817"/>
      <c r="I38" s="851"/>
      <c r="J38" s="856"/>
      <c r="K38" s="852"/>
      <c r="L38" s="856"/>
      <c r="M38" s="855"/>
      <c r="N38" s="858">
        <f>96.4-J38-L38</f>
        <v>96.4</v>
      </c>
      <c r="O38" s="859">
        <f>96.4-K38-M38</f>
        <v>96.4</v>
      </c>
      <c r="P38" s="857"/>
      <c r="Q38" s="853"/>
      <c r="R38" s="817"/>
      <c r="S38" s="851"/>
      <c r="T38" s="666"/>
      <c r="U38" s="817"/>
      <c r="V38" s="855"/>
      <c r="W38" s="851"/>
      <c r="X38" s="856"/>
      <c r="Y38" s="852"/>
      <c r="Z38" s="666"/>
      <c r="AA38" s="859">
        <f>Z38-(J38+K38)/2/0.8*0.9</f>
        <v>0</v>
      </c>
      <c r="AB38" s="784"/>
      <c r="AC38" s="676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F20" sqref="F20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27" t="s">
        <v>0</v>
      </c>
      <c r="B4" s="928"/>
      <c r="C4" s="928"/>
      <c r="D4" s="928"/>
      <c r="E4" s="928"/>
      <c r="F4" s="929"/>
    </row>
    <row r="5" spans="1:6" x14ac:dyDescent="0.2">
      <c r="A5" s="2" t="s">
        <v>1</v>
      </c>
      <c r="B5" s="930" t="s">
        <v>621</v>
      </c>
      <c r="C5" s="931"/>
      <c r="D5" s="3" t="s">
        <v>2</v>
      </c>
      <c r="E5" s="932" t="s">
        <v>693</v>
      </c>
      <c r="F5" s="933"/>
    </row>
    <row r="6" spans="1:6" x14ac:dyDescent="0.2">
      <c r="A6" s="4" t="s">
        <v>3</v>
      </c>
      <c r="B6" s="934"/>
      <c r="C6" s="935"/>
      <c r="D6" s="5" t="s">
        <v>4</v>
      </c>
      <c r="E6" s="936" t="s">
        <v>694</v>
      </c>
      <c r="F6" s="937"/>
    </row>
    <row r="7" spans="1:6" x14ac:dyDescent="0.2">
      <c r="A7" s="6" t="s">
        <v>5</v>
      </c>
      <c r="B7" s="923" t="s">
        <v>695</v>
      </c>
      <c r="C7" s="924"/>
      <c r="D7" s="7" t="s">
        <v>6</v>
      </c>
      <c r="E7" s="925" t="s">
        <v>696</v>
      </c>
      <c r="F7" s="926"/>
    </row>
    <row r="9" spans="1:6" x14ac:dyDescent="0.2">
      <c r="A9" s="943" t="s">
        <v>7</v>
      </c>
      <c r="B9" s="686"/>
      <c r="C9" s="687"/>
      <c r="D9" s="8" t="s">
        <v>618</v>
      </c>
      <c r="E9" s="8" t="s">
        <v>619</v>
      </c>
      <c r="F9" s="9" t="s">
        <v>620</v>
      </c>
    </row>
    <row r="10" spans="1:6" x14ac:dyDescent="0.2">
      <c r="A10" s="944"/>
      <c r="B10" s="688"/>
      <c r="C10" s="689"/>
      <c r="D10" s="671">
        <v>0</v>
      </c>
      <c r="E10" s="671">
        <v>0</v>
      </c>
      <c r="F10" s="818">
        <v>0</v>
      </c>
    </row>
    <row r="12" spans="1:6" ht="12.75" customHeight="1" x14ac:dyDescent="0.2">
      <c r="A12" s="945" t="s">
        <v>623</v>
      </c>
      <c r="B12" s="830" t="s">
        <v>665</v>
      </c>
      <c r="C12" s="831" t="s">
        <v>665</v>
      </c>
      <c r="D12" s="946" t="s">
        <v>11</v>
      </c>
      <c r="E12" s="886"/>
      <c r="F12" s="887"/>
    </row>
    <row r="13" spans="1:6" x14ac:dyDescent="0.2">
      <c r="A13" s="944"/>
      <c r="B13" s="832" t="s">
        <v>666</v>
      </c>
      <c r="C13" s="833" t="s">
        <v>666</v>
      </c>
      <c r="D13" s="947"/>
      <c r="E13" s="888"/>
      <c r="F13" s="889"/>
    </row>
    <row r="15" spans="1:6" x14ac:dyDescent="0.2">
      <c r="A15" s="948" t="s">
        <v>48</v>
      </c>
      <c r="B15" s="64">
        <v>-2.9</v>
      </c>
      <c r="C15" s="64">
        <v>-2.6</v>
      </c>
      <c r="D15" s="950" t="s">
        <v>508</v>
      </c>
      <c r="E15" s="915">
        <v>2</v>
      </c>
      <c r="F15" s="916">
        <v>2</v>
      </c>
    </row>
    <row r="16" spans="1:6" x14ac:dyDescent="0.2">
      <c r="A16" s="949"/>
      <c r="B16" s="829">
        <v>-2.6</v>
      </c>
      <c r="C16" s="829">
        <v>-2.2999999999999998</v>
      </c>
      <c r="D16" s="951"/>
      <c r="E16" s="917">
        <v>-1</v>
      </c>
      <c r="F16" s="918">
        <v>-1</v>
      </c>
    </row>
    <row r="17" spans="1:15" x14ac:dyDescent="0.2">
      <c r="A17" s="12" t="s">
        <v>12</v>
      </c>
      <c r="B17" s="827">
        <v>6.2</v>
      </c>
      <c r="C17" s="67">
        <v>8.8000000000000007</v>
      </c>
      <c r="D17" s="14" t="s">
        <v>12</v>
      </c>
      <c r="E17" s="838">
        <v>13.18</v>
      </c>
      <c r="F17" s="839">
        <v>14.34</v>
      </c>
    </row>
    <row r="18" spans="1:15" x14ac:dyDescent="0.2">
      <c r="A18" s="16"/>
      <c r="B18" s="828">
        <v>3.7</v>
      </c>
      <c r="C18" s="828">
        <v>5.0999999999999996</v>
      </c>
      <c r="D18" s="18"/>
      <c r="E18" s="840">
        <v>12</v>
      </c>
      <c r="F18" s="841">
        <v>12.92</v>
      </c>
    </row>
    <row r="20" spans="1:15" x14ac:dyDescent="0.2">
      <c r="A20" s="2" t="s">
        <v>374</v>
      </c>
      <c r="B20" s="19"/>
      <c r="C20" s="19" t="s">
        <v>667</v>
      </c>
      <c r="D20" s="19" t="s">
        <v>668</v>
      </c>
      <c r="E20" s="19" t="s">
        <v>669</v>
      </c>
      <c r="F20" s="352" t="s">
        <v>94</v>
      </c>
    </row>
    <row r="21" spans="1:15" x14ac:dyDescent="0.2">
      <c r="A21" s="21"/>
      <c r="B21" s="47" t="s">
        <v>670</v>
      </c>
      <c r="C21" s="57" t="s">
        <v>562</v>
      </c>
      <c r="D21" s="57" t="s">
        <v>49</v>
      </c>
      <c r="E21" s="23"/>
      <c r="F21" s="890">
        <v>9</v>
      </c>
    </row>
    <row r="22" spans="1:15" x14ac:dyDescent="0.2">
      <c r="A22" s="24"/>
      <c r="B22" s="25" t="s">
        <v>671</v>
      </c>
      <c r="C22" s="56" t="s">
        <v>49</v>
      </c>
      <c r="D22" s="60"/>
      <c r="E22" s="56" t="s">
        <v>562</v>
      </c>
      <c r="F22" s="891">
        <v>4</v>
      </c>
      <c r="H22" s="952" t="s">
        <v>532</v>
      </c>
      <c r="I22" s="952"/>
      <c r="J22" s="952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5" ht="13.5" thickBot="1" x14ac:dyDescent="0.25">
      <c r="A25" s="29" t="s">
        <v>13</v>
      </c>
      <c r="B25" s="836" t="s">
        <v>630</v>
      </c>
      <c r="C25" s="61" t="s">
        <v>539</v>
      </c>
      <c r="D25" s="30" t="s">
        <v>13</v>
      </c>
      <c r="E25" s="892" t="s">
        <v>672</v>
      </c>
      <c r="F25" s="893" t="s">
        <v>672</v>
      </c>
      <c r="H25" s="795">
        <v>50</v>
      </c>
      <c r="I25" s="796">
        <v>50</v>
      </c>
      <c r="J25" s="797">
        <v>42.3</v>
      </c>
    </row>
    <row r="26" spans="1:15" ht="13.5" thickBot="1" x14ac:dyDescent="0.25">
      <c r="A26" s="32" t="s">
        <v>17</v>
      </c>
      <c r="B26" s="837" t="s">
        <v>629</v>
      </c>
      <c r="C26" s="54" t="s">
        <v>539</v>
      </c>
      <c r="D26" s="25" t="s">
        <v>17</v>
      </c>
      <c r="E26" s="894" t="s">
        <v>673</v>
      </c>
      <c r="F26" s="889" t="s">
        <v>673</v>
      </c>
      <c r="H26" s="748" t="s">
        <v>535</v>
      </c>
      <c r="I26" s="749" t="s">
        <v>536</v>
      </c>
      <c r="J26" s="750" t="s">
        <v>538</v>
      </c>
    </row>
    <row r="27" spans="1:15" ht="13.5" thickBot="1" x14ac:dyDescent="0.25">
      <c r="H27" s="798">
        <v>35.700000000000003</v>
      </c>
      <c r="I27" s="799">
        <v>35.700000000000003</v>
      </c>
      <c r="J27" s="800">
        <v>24.4</v>
      </c>
    </row>
    <row r="28" spans="1:15" x14ac:dyDescent="0.2">
      <c r="A28" s="2" t="s">
        <v>23</v>
      </c>
      <c r="B28" s="834" t="s">
        <v>661</v>
      </c>
      <c r="C28" s="834" t="s">
        <v>662</v>
      </c>
      <c r="D28" s="33"/>
      <c r="E28" s="9" t="s">
        <v>512</v>
      </c>
      <c r="F28" s="59" t="s">
        <v>608</v>
      </c>
      <c r="G28" s="220"/>
    </row>
    <row r="29" spans="1:15" x14ac:dyDescent="0.2">
      <c r="A29" s="24"/>
      <c r="B29" s="835" t="s">
        <v>664</v>
      </c>
      <c r="C29" s="835" t="s">
        <v>663</v>
      </c>
      <c r="D29" s="34"/>
      <c r="E29" s="34"/>
      <c r="F29" s="705" t="s">
        <v>609</v>
      </c>
      <c r="G29" s="220"/>
    </row>
    <row r="30" spans="1:15" ht="13.5" thickBot="1" x14ac:dyDescent="0.25">
      <c r="K30" s="743" t="s">
        <v>569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617</v>
      </c>
      <c r="F31" s="881" t="s">
        <v>481</v>
      </c>
      <c r="G31" s="876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  <c r="O31" s="883" t="s">
        <v>650</v>
      </c>
    </row>
    <row r="32" spans="1:15" x14ac:dyDescent="0.2">
      <c r="A32" s="29" t="s">
        <v>26</v>
      </c>
      <c r="B32" s="829" t="s">
        <v>674</v>
      </c>
      <c r="C32" s="895"/>
      <c r="D32" s="896">
        <v>41</v>
      </c>
      <c r="E32" s="829" t="s">
        <v>675</v>
      </c>
      <c r="F32" s="897" t="s">
        <v>676</v>
      </c>
      <c r="G32" s="877" t="s">
        <v>13</v>
      </c>
      <c r="H32" s="795">
        <v>14.7</v>
      </c>
      <c r="I32" s="796">
        <v>2.2000000000000002</v>
      </c>
      <c r="J32" s="796">
        <v>87.405000000000001</v>
      </c>
      <c r="K32" s="801"/>
      <c r="L32" s="796">
        <f>$J32-$H32-$I32-H25</f>
        <v>20.504999999999995</v>
      </c>
      <c r="M32" s="802">
        <f>$J32-$H32-$I32-I25</f>
        <v>20.504999999999995</v>
      </c>
      <c r="O32" s="883">
        <v>36.5</v>
      </c>
    </row>
    <row r="33" spans="1:15" ht="13.5" thickBot="1" x14ac:dyDescent="0.25">
      <c r="A33" s="29" t="s">
        <v>27</v>
      </c>
      <c r="B33" s="829" t="s">
        <v>218</v>
      </c>
      <c r="C33" s="895"/>
      <c r="D33" s="875">
        <v>47.5</v>
      </c>
      <c r="E33" s="829" t="s">
        <v>677</v>
      </c>
      <c r="F33" s="898" t="s">
        <v>678</v>
      </c>
      <c r="G33" s="878" t="s">
        <v>17</v>
      </c>
      <c r="H33" s="795">
        <v>29.3</v>
      </c>
      <c r="I33" s="796">
        <v>2.2000000000000002</v>
      </c>
      <c r="J33" s="796">
        <v>96.4</v>
      </c>
      <c r="K33" s="801"/>
      <c r="L33" s="796">
        <f>$J$33-$H$33-$I$33-H27</f>
        <v>29.200000000000003</v>
      </c>
      <c r="M33" s="802">
        <f>$J$33-$H$33-$I$33-I27</f>
        <v>29.200000000000003</v>
      </c>
      <c r="O33" s="883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31" t="s">
        <v>679</v>
      </c>
      <c r="F34" s="898"/>
      <c r="G34" s="879" t="s">
        <v>89</v>
      </c>
      <c r="H34" s="803"/>
      <c r="I34" s="804"/>
      <c r="J34" s="805">
        <v>172.52</v>
      </c>
      <c r="K34" s="805">
        <v>70.3</v>
      </c>
      <c r="L34" s="938">
        <f>J34-K34-J25</f>
        <v>59.920000000000016</v>
      </c>
      <c r="M34" s="939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899" t="s">
        <v>680</v>
      </c>
      <c r="F35" s="900"/>
      <c r="G35" s="880" t="s">
        <v>90</v>
      </c>
      <c r="H35" s="806"/>
      <c r="I35" s="807"/>
      <c r="J35" s="808">
        <v>233</v>
      </c>
      <c r="K35" s="808">
        <v>140</v>
      </c>
      <c r="L35" s="940">
        <f>J35-K35-J27</f>
        <v>68.599999999999994</v>
      </c>
      <c r="M35" s="941"/>
    </row>
    <row r="36" spans="1:15" x14ac:dyDescent="0.2">
      <c r="C36" s="942" t="s">
        <v>570</v>
      </c>
      <c r="D36" s="942"/>
      <c r="E36" s="942"/>
      <c r="F36" s="942"/>
    </row>
    <row r="37" spans="1:15" x14ac:dyDescent="0.2">
      <c r="A37" s="2" t="s">
        <v>30</v>
      </c>
      <c r="B37" s="33"/>
      <c r="C37" s="37" t="s">
        <v>681</v>
      </c>
      <c r="D37" s="37" t="s">
        <v>682</v>
      </c>
      <c r="E37" s="37" t="s">
        <v>683</v>
      </c>
      <c r="F37" s="38" t="s">
        <v>684</v>
      </c>
    </row>
    <row r="38" spans="1:15" x14ac:dyDescent="0.2">
      <c r="A38" s="62" t="s">
        <v>612</v>
      </c>
      <c r="B38" s="635" t="s">
        <v>13</v>
      </c>
      <c r="C38" s="901" t="s">
        <v>685</v>
      </c>
      <c r="D38" s="901" t="s">
        <v>685</v>
      </c>
      <c r="E38" s="901" t="s">
        <v>685</v>
      </c>
      <c r="F38" s="902" t="s">
        <v>686</v>
      </c>
    </row>
    <row r="39" spans="1:15" x14ac:dyDescent="0.2">
      <c r="A39" s="63" t="s">
        <v>612</v>
      </c>
      <c r="B39" s="636" t="s">
        <v>17</v>
      </c>
      <c r="C39" s="903" t="s">
        <v>687</v>
      </c>
      <c r="D39" s="903" t="s">
        <v>688</v>
      </c>
      <c r="E39" s="903" t="s">
        <v>688</v>
      </c>
      <c r="F39" s="904" t="s">
        <v>687</v>
      </c>
    </row>
    <row r="40" spans="1:15" x14ac:dyDescent="0.2">
      <c r="C40" s="942" t="s">
        <v>570</v>
      </c>
      <c r="D40" s="942"/>
      <c r="E40" s="942"/>
      <c r="F40" s="942"/>
    </row>
    <row r="41" spans="1:15" x14ac:dyDescent="0.2">
      <c r="A41" s="2" t="s">
        <v>33</v>
      </c>
      <c r="B41" s="33"/>
      <c r="C41" s="37" t="s">
        <v>681</v>
      </c>
      <c r="D41" s="37" t="s">
        <v>682</v>
      </c>
      <c r="E41" s="37" t="s">
        <v>683</v>
      </c>
      <c r="F41" s="38" t="s">
        <v>684</v>
      </c>
    </row>
    <row r="42" spans="1:15" x14ac:dyDescent="0.2">
      <c r="A42" s="62" t="s">
        <v>612</v>
      </c>
      <c r="B42" s="635" t="s">
        <v>13</v>
      </c>
      <c r="C42" s="829">
        <v>7</v>
      </c>
      <c r="D42" s="829">
        <v>8</v>
      </c>
      <c r="E42" s="905">
        <v>11</v>
      </c>
      <c r="F42" s="906">
        <v>10</v>
      </c>
    </row>
    <row r="43" spans="1:15" x14ac:dyDescent="0.2">
      <c r="A43" s="63" t="s">
        <v>612</v>
      </c>
      <c r="B43" s="636" t="s">
        <v>17</v>
      </c>
      <c r="C43" s="907">
        <v>11</v>
      </c>
      <c r="D43" s="907">
        <v>10</v>
      </c>
      <c r="E43" s="671">
        <v>5</v>
      </c>
      <c r="F43" s="818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13" t="s">
        <v>35</v>
      </c>
      <c r="D45" s="55" t="s">
        <v>689</v>
      </c>
      <c r="E45" s="813"/>
      <c r="F45" s="68"/>
    </row>
    <row r="46" spans="1:15" x14ac:dyDescent="0.2">
      <c r="A46" s="908" t="s">
        <v>522</v>
      </c>
      <c r="B46" s="56">
        <v>62</v>
      </c>
      <c r="C46" s="813"/>
      <c r="D46" s="56" t="s">
        <v>690</v>
      </c>
      <c r="E46" s="813"/>
      <c r="F46" s="65"/>
    </row>
    <row r="48" spans="1:15" x14ac:dyDescent="0.2">
      <c r="A48" s="42" t="s">
        <v>37</v>
      </c>
      <c r="B48" s="909" t="s">
        <v>691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622</v>
      </c>
      <c r="C50" s="33"/>
      <c r="D50" s="8" t="s">
        <v>39</v>
      </c>
      <c r="E50" s="910" t="s">
        <v>649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611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F58" s="356" t="s">
        <v>511</v>
      </c>
    </row>
    <row r="59" spans="1:6" x14ac:dyDescent="0.2">
      <c r="A59" s="911" t="s">
        <v>692</v>
      </c>
      <c r="B59" s="1" t="s">
        <v>471</v>
      </c>
      <c r="F59" s="355" t="s">
        <v>263</v>
      </c>
    </row>
    <row r="60" spans="1:6" x14ac:dyDescent="0.2">
      <c r="A60" s="912" t="s">
        <v>26</v>
      </c>
      <c r="B60" s="1">
        <v>87.4</v>
      </c>
      <c r="F60" s="356" t="s">
        <v>511</v>
      </c>
    </row>
    <row r="61" spans="1:6" x14ac:dyDescent="0.2">
      <c r="A61" s="912" t="s">
        <v>27</v>
      </c>
      <c r="B61" s="1">
        <v>96.4</v>
      </c>
      <c r="F61" s="355" t="s">
        <v>264</v>
      </c>
    </row>
    <row r="62" spans="1:6" x14ac:dyDescent="0.2">
      <c r="A62" s="912" t="s">
        <v>28</v>
      </c>
      <c r="B62" s="1">
        <v>172.5</v>
      </c>
      <c r="F62" s="31" t="s">
        <v>513</v>
      </c>
    </row>
    <row r="63" spans="1:6" x14ac:dyDescent="0.2">
      <c r="A63" s="912" t="s">
        <v>29</v>
      </c>
      <c r="B63" s="1">
        <v>232.9</v>
      </c>
      <c r="F63" s="913"/>
    </row>
    <row r="64" spans="1:6" x14ac:dyDescent="0.2">
      <c r="A64" s="672"/>
      <c r="F64" s="913"/>
    </row>
    <row r="65" spans="1:6" x14ac:dyDescent="0.2">
      <c r="A65" s="16"/>
      <c r="B65" s="18"/>
      <c r="C65" s="18"/>
      <c r="D65" s="18"/>
      <c r="E65" s="18"/>
      <c r="F65" s="914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821" t="s">
        <v>624</v>
      </c>
      <c r="AG2" s="819"/>
      <c r="AH2" s="819"/>
      <c r="AI2" s="819"/>
      <c r="AJ2" s="380"/>
      <c r="AK2" s="822" t="s">
        <v>625</v>
      </c>
      <c r="AL2" s="820"/>
      <c r="AM2" s="820"/>
      <c r="AN2" s="820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626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823" t="s">
        <v>628</v>
      </c>
      <c r="C2" s="823"/>
      <c r="D2" s="823"/>
      <c r="E2" s="823"/>
      <c r="F2" s="823"/>
      <c r="G2" s="823"/>
      <c r="H2" s="823"/>
      <c r="I2" s="823"/>
      <c r="K2" s="823" t="s">
        <v>627</v>
      </c>
      <c r="L2" s="823"/>
      <c r="M2" s="823"/>
      <c r="N2" s="823"/>
      <c r="O2" s="823"/>
      <c r="P2" s="823"/>
      <c r="Q2" s="823"/>
      <c r="R2" s="823"/>
      <c r="S2" s="823"/>
    </row>
    <row r="3" spans="2:19" s="380" customFormat="1" ht="15.75" thickTop="1" x14ac:dyDescent="0.25"/>
    <row r="4" spans="2:19" ht="21" x14ac:dyDescent="0.25">
      <c r="B4" s="821" t="s">
        <v>624</v>
      </c>
      <c r="C4" s="819"/>
      <c r="D4" s="819"/>
      <c r="E4" s="819"/>
      <c r="F4" s="380"/>
      <c r="G4" s="822" t="s">
        <v>625</v>
      </c>
      <c r="H4" s="820"/>
      <c r="I4" s="820"/>
      <c r="J4" s="380"/>
      <c r="K4" s="821" t="s">
        <v>624</v>
      </c>
      <c r="L4" s="819"/>
      <c r="M4" s="819"/>
      <c r="N4" s="819"/>
      <c r="O4" s="380"/>
      <c r="P4" s="822" t="s">
        <v>625</v>
      </c>
      <c r="Q4" s="820"/>
      <c r="R4" s="820"/>
      <c r="S4" s="820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626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824">
        <v>0.42853853182968604</v>
      </c>
      <c r="M45" s="825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824">
        <v>0.42599626919418815</v>
      </c>
      <c r="P46" s="825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960" t="s">
        <v>13</v>
      </c>
      <c r="C2" s="960"/>
      <c r="D2" s="960"/>
      <c r="E2" s="960"/>
      <c r="F2" s="960"/>
      <c r="G2" s="960"/>
      <c r="K2" s="960" t="s">
        <v>17</v>
      </c>
      <c r="L2" s="960"/>
      <c r="M2" s="960"/>
      <c r="N2" s="960"/>
      <c r="O2" s="960"/>
      <c r="P2" s="960"/>
      <c r="T2" s="953" t="s">
        <v>88</v>
      </c>
      <c r="U2" s="953"/>
      <c r="V2" s="953"/>
      <c r="W2" s="953"/>
      <c r="X2" s="953"/>
      <c r="Y2" s="953"/>
      <c r="Z2" s="953"/>
      <c r="AA2" s="953"/>
      <c r="AB2" s="953"/>
    </row>
    <row r="3" spans="2:38" x14ac:dyDescent="0.2">
      <c r="B3" s="960"/>
      <c r="C3" s="960"/>
      <c r="D3" s="960"/>
      <c r="E3" s="960"/>
      <c r="F3" s="960"/>
      <c r="G3" s="960"/>
      <c r="K3" s="960"/>
      <c r="L3" s="960"/>
      <c r="M3" s="960"/>
      <c r="N3" s="960"/>
      <c r="O3" s="960"/>
      <c r="P3" s="960"/>
      <c r="T3" s="953"/>
      <c r="U3" s="953"/>
      <c r="V3" s="953"/>
      <c r="W3" s="953"/>
      <c r="X3" s="953"/>
      <c r="Y3" s="953"/>
      <c r="Z3" s="953"/>
      <c r="AA3" s="953"/>
      <c r="AB3" s="953"/>
    </row>
    <row r="4" spans="2:38" ht="13.5" thickBot="1" x14ac:dyDescent="0.25"/>
    <row r="5" spans="2:38" x14ac:dyDescent="0.2">
      <c r="B5" s="956" t="s">
        <v>63</v>
      </c>
      <c r="C5" s="957"/>
      <c r="D5" s="533" t="s">
        <v>428</v>
      </c>
      <c r="J5" s="195"/>
      <c r="K5" s="956" t="s">
        <v>64</v>
      </c>
      <c r="L5" s="957"/>
      <c r="AC5" s="954" t="s">
        <v>92</v>
      </c>
      <c r="AD5" s="955"/>
    </row>
    <row r="6" spans="2:38" ht="13.5" thickBot="1" x14ac:dyDescent="0.25">
      <c r="B6" s="961"/>
      <c r="C6" s="962"/>
      <c r="J6" s="195"/>
      <c r="K6" s="961"/>
      <c r="L6" s="962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956" t="s">
        <v>82</v>
      </c>
      <c r="C18" s="957"/>
      <c r="K18" s="956" t="s">
        <v>83</v>
      </c>
      <c r="L18" s="957"/>
      <c r="T18" s="1" t="s">
        <v>132</v>
      </c>
    </row>
    <row r="19" spans="2:20" ht="13.5" thickBot="1" x14ac:dyDescent="0.25">
      <c r="B19" s="961"/>
      <c r="C19" s="962"/>
      <c r="K19" s="958"/>
      <c r="L19" s="959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521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956" t="s">
        <v>85</v>
      </c>
      <c r="C31" s="957"/>
      <c r="K31" s="956" t="s">
        <v>86</v>
      </c>
      <c r="L31" s="957"/>
    </row>
    <row r="32" spans="2:20" ht="13.5" thickBot="1" x14ac:dyDescent="0.25">
      <c r="B32" s="961"/>
      <c r="C32" s="962"/>
      <c r="K32" s="958"/>
      <c r="L32" s="959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zoomScaleNormal="100" workbookViewId="0">
      <selection activeCell="B8" sqref="B8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9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9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9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9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9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7" t="s">
        <v>384</v>
      </c>
      <c r="D8" s="977"/>
      <c r="E8" s="977"/>
      <c r="F8" s="977"/>
      <c r="G8" s="977"/>
      <c r="H8" s="978"/>
      <c r="J8" s="262" t="s">
        <v>385</v>
      </c>
      <c r="K8" s="252">
        <v>0.45</v>
      </c>
      <c r="L8" s="87" t="s">
        <v>184</v>
      </c>
      <c r="M8" s="381"/>
      <c r="AC8" s="979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9"/>
      <c r="AD9" s="467" t="s">
        <v>407</v>
      </c>
      <c r="AE9" s="980" t="s">
        <v>408</v>
      </c>
      <c r="AF9" s="980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79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9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871">
        <f t="shared" si="0"/>
        <v>0.30403662694094868</v>
      </c>
      <c r="E12" s="873">
        <f t="shared" si="0"/>
        <v>0.3143657022253547</v>
      </c>
      <c r="F12" s="871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9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79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871">
        <f t="shared" si="0"/>
        <v>0.3133457458048528</v>
      </c>
      <c r="E14" s="145">
        <f t="shared" si="0"/>
        <v>0.32432844848396125</v>
      </c>
      <c r="F14" s="871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9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79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9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69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79"/>
      <c r="AD17" s="495" t="s">
        <v>419</v>
      </c>
      <c r="AE17" s="984" t="s">
        <v>420</v>
      </c>
      <c r="AF17" s="969"/>
      <c r="AG17" s="969"/>
      <c r="AH17" s="992"/>
      <c r="AI17" s="969" t="s">
        <v>421</v>
      </c>
      <c r="AJ17" s="969"/>
      <c r="AK17" s="969"/>
      <c r="AL17" s="970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871">
        <f t="shared" si="1"/>
        <v>0.32737910615260951</v>
      </c>
      <c r="E18" s="145">
        <f t="shared" si="1"/>
        <v>0.33938641817463505</v>
      </c>
      <c r="F18" s="871">
        <f t="shared" si="1"/>
        <v>0.35225397283019899</v>
      </c>
      <c r="G18" s="145"/>
      <c r="H18" s="146"/>
      <c r="J18" s="100"/>
      <c r="K18" s="88"/>
      <c r="L18" s="142"/>
      <c r="M18" s="381"/>
      <c r="AC18" s="979"/>
      <c r="AD18" s="496">
        <v>1</v>
      </c>
      <c r="AE18" s="971">
        <v>40.9</v>
      </c>
      <c r="AF18" s="972"/>
      <c r="AG18" s="972"/>
      <c r="AH18" s="973"/>
      <c r="AI18" s="972">
        <v>30.6</v>
      </c>
      <c r="AJ18" s="972"/>
      <c r="AK18" s="972"/>
      <c r="AL18" s="97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9"/>
      <c r="AD19" s="496">
        <v>2</v>
      </c>
      <c r="AE19" s="971">
        <v>30.6</v>
      </c>
      <c r="AF19" s="972"/>
      <c r="AG19" s="972"/>
      <c r="AH19" s="973"/>
      <c r="AI19" s="975">
        <v>23</v>
      </c>
      <c r="AJ19" s="975"/>
      <c r="AK19" s="975"/>
      <c r="AL19" s="97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79"/>
      <c r="AD20" s="513">
        <v>3</v>
      </c>
      <c r="AE20" s="989">
        <v>23</v>
      </c>
      <c r="AF20" s="963"/>
      <c r="AG20" s="963"/>
      <c r="AH20" s="990"/>
      <c r="AI20" s="963">
        <v>17.2</v>
      </c>
      <c r="AJ20" s="963"/>
      <c r="AK20" s="963"/>
      <c r="AL20" s="964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9"/>
      <c r="AD21" s="497">
        <v>4</v>
      </c>
      <c r="AE21" s="965">
        <v>17.2</v>
      </c>
      <c r="AF21" s="966"/>
      <c r="AG21" s="966"/>
      <c r="AH21" s="967"/>
      <c r="AI21" s="966">
        <v>12.9</v>
      </c>
      <c r="AJ21" s="966"/>
      <c r="AK21" s="966"/>
      <c r="AL21" s="968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7" t="s">
        <v>395</v>
      </c>
      <c r="D25" s="977"/>
      <c r="E25" s="977"/>
      <c r="F25" s="977"/>
      <c r="G25" s="977"/>
      <c r="H25" s="978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1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1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919">
        <f t="shared" si="3"/>
        <v>0.52460452956366033</v>
      </c>
      <c r="E29" s="872">
        <f t="shared" si="3"/>
        <v>0.50845385833234091</v>
      </c>
      <c r="F29" s="919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920">
        <f t="shared" si="3"/>
        <v>0.54066708745803904</v>
      </c>
      <c r="E31" s="559">
        <f t="shared" si="3"/>
        <v>0.52456756519958458</v>
      </c>
      <c r="F31" s="919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69">
        <v>1121.1924016000003</v>
      </c>
      <c r="C34" s="455">
        <f t="shared" si="4"/>
        <v>0.59536172014527056</v>
      </c>
      <c r="D34" s="919">
        <f t="shared" si="4"/>
        <v>0.55774433397814493</v>
      </c>
      <c r="E34" s="870">
        <f t="shared" si="4"/>
        <v>0.54173603738082909</v>
      </c>
      <c r="F34" s="919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79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9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79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79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0.62422478741275622</v>
      </c>
      <c r="D39" s="559">
        <f t="shared" si="6"/>
        <v>0.58743124089890919</v>
      </c>
      <c r="E39" s="559">
        <f t="shared" si="6"/>
        <v>0.57167228406715986</v>
      </c>
      <c r="F39" s="455">
        <f t="shared" si="6"/>
        <v>0.55473292420139853</v>
      </c>
      <c r="G39" s="455"/>
      <c r="H39" s="456"/>
      <c r="AC39" s="979"/>
    </row>
    <row r="40" spans="2:40" ht="15.75" thickBot="1" x14ac:dyDescent="0.3">
      <c r="B40" s="449">
        <v>0</v>
      </c>
      <c r="C40" s="457">
        <f t="shared" si="6"/>
        <v>0.67317819098806753</v>
      </c>
      <c r="D40" s="457">
        <f t="shared" si="6"/>
        <v>0.63840126044614187</v>
      </c>
      <c r="E40" s="457">
        <f t="shared" si="6"/>
        <v>0.62334086087969454</v>
      </c>
      <c r="F40" s="457">
        <f t="shared" si="6"/>
        <v>0.6070402868556668</v>
      </c>
      <c r="G40" s="457"/>
      <c r="H40" s="458"/>
      <c r="AC40" s="979"/>
      <c r="AD40" s="467" t="s">
        <v>423</v>
      </c>
      <c r="AE40" s="980" t="s">
        <v>424</v>
      </c>
      <c r="AF40" s="980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9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9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9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9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9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9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9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9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9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9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9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9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9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9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9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9"/>
      <c r="AG56" s="453"/>
    </row>
    <row r="57" spans="29:40" x14ac:dyDescent="0.25">
      <c r="AC57" s="979"/>
      <c r="AD57" s="425" t="s">
        <v>426</v>
      </c>
      <c r="AE57" s="492"/>
      <c r="AF57" s="492"/>
      <c r="AG57" s="493"/>
      <c r="AH57" s="494"/>
    </row>
    <row r="58" spans="29:40" x14ac:dyDescent="0.25">
      <c r="AC58" s="979"/>
      <c r="AD58" s="495" t="s">
        <v>419</v>
      </c>
      <c r="AE58" s="969" t="s">
        <v>427</v>
      </c>
      <c r="AF58" s="969"/>
      <c r="AG58" s="969"/>
      <c r="AH58" s="970"/>
      <c r="AN58" s="515" t="s">
        <v>241</v>
      </c>
    </row>
    <row r="59" spans="29:40" x14ac:dyDescent="0.25">
      <c r="AC59" s="979"/>
      <c r="AD59" s="495">
        <v>1</v>
      </c>
      <c r="AE59" s="984">
        <v>47.4</v>
      </c>
      <c r="AF59" s="969"/>
      <c r="AG59" s="969"/>
      <c r="AH59" s="970"/>
      <c r="AI59" s="380" t="s">
        <v>613</v>
      </c>
    </row>
    <row r="60" spans="29:40" x14ac:dyDescent="0.25">
      <c r="AC60" s="979"/>
      <c r="AD60" s="513">
        <v>2</v>
      </c>
      <c r="AE60" s="985">
        <v>42.7</v>
      </c>
      <c r="AF60" s="986"/>
      <c r="AG60" s="986"/>
      <c r="AH60" s="987"/>
      <c r="AI60" s="380" t="s">
        <v>435</v>
      </c>
    </row>
    <row r="61" spans="29:40" x14ac:dyDescent="0.25">
      <c r="AC61" s="979"/>
      <c r="AD61" s="496">
        <v>3</v>
      </c>
      <c r="AE61" s="988">
        <v>38</v>
      </c>
      <c r="AF61" s="975"/>
      <c r="AG61" s="975"/>
      <c r="AH61" s="976"/>
      <c r="AI61" s="380" t="s">
        <v>437</v>
      </c>
    </row>
    <row r="62" spans="29:40" x14ac:dyDescent="0.25">
      <c r="AC62" s="979"/>
      <c r="AD62" s="496">
        <v>4</v>
      </c>
      <c r="AE62" s="971">
        <v>22.8</v>
      </c>
      <c r="AF62" s="972"/>
      <c r="AG62" s="972"/>
      <c r="AH62" s="974"/>
      <c r="AI62" s="380" t="s">
        <v>436</v>
      </c>
    </row>
    <row r="63" spans="29:40" ht="15.75" thickBot="1" x14ac:dyDescent="0.3">
      <c r="AC63" s="979"/>
      <c r="AD63" s="514">
        <v>5</v>
      </c>
      <c r="AE63" s="981">
        <v>20.6</v>
      </c>
      <c r="AF63" s="982"/>
      <c r="AG63" s="982"/>
      <c r="AH63" s="983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6"/>
      <c r="L2" s="86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9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9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9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9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9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7" t="s">
        <v>384</v>
      </c>
      <c r="D8" s="977"/>
      <c r="E8" s="977"/>
      <c r="F8" s="977"/>
      <c r="G8" s="977"/>
      <c r="H8" s="978"/>
      <c r="J8" s="262" t="s">
        <v>385</v>
      </c>
      <c r="K8" s="252">
        <v>0.45</v>
      </c>
      <c r="L8" s="87" t="s">
        <v>184</v>
      </c>
      <c r="M8" s="381"/>
      <c r="AC8" s="979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9"/>
      <c r="AD9" s="467" t="s">
        <v>407</v>
      </c>
      <c r="AE9" s="980" t="s">
        <v>408</v>
      </c>
      <c r="AF9" s="980"/>
      <c r="AG9" s="868" t="s">
        <v>409</v>
      </c>
      <c r="AH9" s="868" t="s">
        <v>410</v>
      </c>
      <c r="AI9" s="8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979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9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871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9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979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979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979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979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69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979"/>
      <c r="AD17" s="495" t="s">
        <v>419</v>
      </c>
      <c r="AE17" s="984" t="s">
        <v>420</v>
      </c>
      <c r="AF17" s="969"/>
      <c r="AG17" s="969"/>
      <c r="AH17" s="992"/>
      <c r="AI17" s="969" t="s">
        <v>421</v>
      </c>
      <c r="AJ17" s="969"/>
      <c r="AK17" s="969"/>
      <c r="AL17" s="970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979"/>
      <c r="AD18" s="496">
        <v>1</v>
      </c>
      <c r="AE18" s="971">
        <v>40.9</v>
      </c>
      <c r="AF18" s="972"/>
      <c r="AG18" s="972"/>
      <c r="AH18" s="973"/>
      <c r="AI18" s="972">
        <v>30.6</v>
      </c>
      <c r="AJ18" s="972"/>
      <c r="AK18" s="972"/>
      <c r="AL18" s="97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9"/>
      <c r="AD19" s="496">
        <v>2</v>
      </c>
      <c r="AE19" s="971">
        <v>30.6</v>
      </c>
      <c r="AF19" s="972"/>
      <c r="AG19" s="972"/>
      <c r="AH19" s="973"/>
      <c r="AI19" s="975">
        <v>23</v>
      </c>
      <c r="AJ19" s="975"/>
      <c r="AK19" s="975"/>
      <c r="AL19" s="97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979"/>
      <c r="AD20" s="513">
        <v>3</v>
      </c>
      <c r="AE20" s="989">
        <v>23</v>
      </c>
      <c r="AF20" s="963"/>
      <c r="AG20" s="963"/>
      <c r="AH20" s="990"/>
      <c r="AI20" s="963">
        <v>17.2</v>
      </c>
      <c r="AJ20" s="963"/>
      <c r="AK20" s="963"/>
      <c r="AL20" s="964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9"/>
      <c r="AD21" s="497">
        <v>4</v>
      </c>
      <c r="AE21" s="965">
        <v>17.2</v>
      </c>
      <c r="AF21" s="966"/>
      <c r="AG21" s="966"/>
      <c r="AH21" s="967"/>
      <c r="AI21" s="966">
        <v>12.9</v>
      </c>
      <c r="AJ21" s="966"/>
      <c r="AK21" s="966"/>
      <c r="AL21" s="968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7" t="s">
        <v>395</v>
      </c>
      <c r="D25" s="977"/>
      <c r="E25" s="977"/>
      <c r="F25" s="977"/>
      <c r="G25" s="977"/>
      <c r="H25" s="978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991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1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872">
        <f t="shared" si="3"/>
        <v>0.54113323062005925</v>
      </c>
      <c r="E29" s="872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874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869">
        <v>1121.1924016000003</v>
      </c>
      <c r="C34" s="455">
        <f t="shared" si="4"/>
        <v>0.61564207731813747</v>
      </c>
      <c r="D34" s="455">
        <f t="shared" si="4"/>
        <v>0.57756276922614469</v>
      </c>
      <c r="E34" s="870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979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9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979"/>
    </row>
    <row r="38" spans="2:40" ht="15.75" thickBot="1" x14ac:dyDescent="0.3">
      <c r="B38" s="438">
        <v>760</v>
      </c>
      <c r="C38" s="455">
        <f t="shared" si="5"/>
        <v>0.64093661052136408</v>
      </c>
      <c r="D38" s="677">
        <f t="shared" si="5"/>
        <v>0.60375034716107323</v>
      </c>
      <c r="E38" s="677">
        <f t="shared" si="5"/>
        <v>0.58770584066447817</v>
      </c>
      <c r="F38" s="455">
        <f t="shared" si="5"/>
        <v>0.57038029401515367</v>
      </c>
      <c r="G38" s="455"/>
      <c r="H38" s="456"/>
      <c r="AC38" s="979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979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979"/>
      <c r="AD40" s="467" t="s">
        <v>423</v>
      </c>
      <c r="AE40" s="980" t="s">
        <v>424</v>
      </c>
      <c r="AF40" s="980"/>
      <c r="AG40" s="868" t="s">
        <v>409</v>
      </c>
      <c r="AH40" s="868" t="s">
        <v>410</v>
      </c>
      <c r="AI40" s="8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9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9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9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9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9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9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9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9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9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9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9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9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9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9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9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9"/>
      <c r="AG56" s="453"/>
    </row>
    <row r="57" spans="29:40" x14ac:dyDescent="0.25">
      <c r="AC57" s="979"/>
      <c r="AD57" s="425" t="s">
        <v>426</v>
      </c>
      <c r="AE57" s="492"/>
      <c r="AF57" s="492"/>
      <c r="AG57" s="493"/>
      <c r="AH57" s="494"/>
    </row>
    <row r="58" spans="29:40" x14ac:dyDescent="0.25">
      <c r="AC58" s="979"/>
      <c r="AD58" s="495" t="s">
        <v>419</v>
      </c>
      <c r="AE58" s="969" t="s">
        <v>427</v>
      </c>
      <c r="AF58" s="969"/>
      <c r="AG58" s="969"/>
      <c r="AH58" s="970"/>
      <c r="AN58" s="515" t="s">
        <v>241</v>
      </c>
    </row>
    <row r="59" spans="29:40" x14ac:dyDescent="0.25">
      <c r="AC59" s="979"/>
      <c r="AD59" s="495">
        <v>1</v>
      </c>
      <c r="AE59" s="984">
        <v>47.4</v>
      </c>
      <c r="AF59" s="969"/>
      <c r="AG59" s="969"/>
      <c r="AH59" s="970"/>
      <c r="AI59" s="380" t="s">
        <v>613</v>
      </c>
    </row>
    <row r="60" spans="29:40" x14ac:dyDescent="0.25">
      <c r="AC60" s="979"/>
      <c r="AD60" s="513">
        <v>2</v>
      </c>
      <c r="AE60" s="985">
        <v>42.7</v>
      </c>
      <c r="AF60" s="986"/>
      <c r="AG60" s="986"/>
      <c r="AH60" s="987"/>
      <c r="AI60" s="380" t="s">
        <v>435</v>
      </c>
    </row>
    <row r="61" spans="29:40" x14ac:dyDescent="0.25">
      <c r="AC61" s="979"/>
      <c r="AD61" s="496">
        <v>3</v>
      </c>
      <c r="AE61" s="988">
        <v>38</v>
      </c>
      <c r="AF61" s="975"/>
      <c r="AG61" s="975"/>
      <c r="AH61" s="976"/>
      <c r="AI61" s="380" t="s">
        <v>437</v>
      </c>
    </row>
    <row r="62" spans="29:40" x14ac:dyDescent="0.25">
      <c r="AC62" s="979"/>
      <c r="AD62" s="496">
        <v>4</v>
      </c>
      <c r="AE62" s="971">
        <v>22.8</v>
      </c>
      <c r="AF62" s="972"/>
      <c r="AG62" s="972"/>
      <c r="AH62" s="974"/>
      <c r="AI62" s="380" t="s">
        <v>436</v>
      </c>
    </row>
    <row r="63" spans="29:40" ht="15.75" thickBot="1" x14ac:dyDescent="0.3">
      <c r="AC63" s="979"/>
      <c r="AD63" s="514">
        <v>5</v>
      </c>
      <c r="AE63" s="981">
        <v>20.6</v>
      </c>
      <c r="AF63" s="982"/>
      <c r="AG63" s="982"/>
      <c r="AH63" s="983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3"/>
      <c r="L2" s="86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9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9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9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9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9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7" t="s">
        <v>384</v>
      </c>
      <c r="D8" s="977"/>
      <c r="E8" s="977"/>
      <c r="F8" s="977"/>
      <c r="G8" s="977"/>
      <c r="H8" s="978"/>
      <c r="J8" s="262" t="s">
        <v>385</v>
      </c>
      <c r="K8" s="252">
        <v>0.45</v>
      </c>
      <c r="L8" s="87" t="s">
        <v>184</v>
      </c>
      <c r="M8" s="381"/>
      <c r="AC8" s="979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9"/>
      <c r="AD9" s="467" t="s">
        <v>407</v>
      </c>
      <c r="AE9" s="980" t="s">
        <v>408</v>
      </c>
      <c r="AF9" s="980"/>
      <c r="AG9" s="865" t="s">
        <v>409</v>
      </c>
      <c r="AH9" s="865" t="s">
        <v>410</v>
      </c>
      <c r="AI9" s="86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79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9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871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9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79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9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79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9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69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79"/>
      <c r="AD17" s="495" t="s">
        <v>419</v>
      </c>
      <c r="AE17" s="984" t="s">
        <v>420</v>
      </c>
      <c r="AF17" s="969"/>
      <c r="AG17" s="969"/>
      <c r="AH17" s="992"/>
      <c r="AI17" s="969" t="s">
        <v>421</v>
      </c>
      <c r="AJ17" s="969"/>
      <c r="AK17" s="969"/>
      <c r="AL17" s="970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79"/>
      <c r="AD18" s="496">
        <v>1</v>
      </c>
      <c r="AE18" s="971">
        <v>40.9</v>
      </c>
      <c r="AF18" s="972"/>
      <c r="AG18" s="972"/>
      <c r="AH18" s="973"/>
      <c r="AI18" s="972">
        <v>30.6</v>
      </c>
      <c r="AJ18" s="972"/>
      <c r="AK18" s="972"/>
      <c r="AL18" s="97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9"/>
      <c r="AD19" s="496">
        <v>2</v>
      </c>
      <c r="AE19" s="971">
        <v>30.6</v>
      </c>
      <c r="AF19" s="972"/>
      <c r="AG19" s="972"/>
      <c r="AH19" s="973"/>
      <c r="AI19" s="975">
        <v>23</v>
      </c>
      <c r="AJ19" s="975"/>
      <c r="AK19" s="975"/>
      <c r="AL19" s="97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79"/>
      <c r="AD20" s="513">
        <v>3</v>
      </c>
      <c r="AE20" s="989">
        <v>23</v>
      </c>
      <c r="AF20" s="963"/>
      <c r="AG20" s="963"/>
      <c r="AH20" s="990"/>
      <c r="AI20" s="963">
        <v>17.2</v>
      </c>
      <c r="AJ20" s="963"/>
      <c r="AK20" s="963"/>
      <c r="AL20" s="964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9"/>
      <c r="AD21" s="497">
        <v>4</v>
      </c>
      <c r="AE21" s="965">
        <v>17.2</v>
      </c>
      <c r="AF21" s="966"/>
      <c r="AG21" s="966"/>
      <c r="AH21" s="967"/>
      <c r="AI21" s="966">
        <v>12.9</v>
      </c>
      <c r="AJ21" s="966"/>
      <c r="AK21" s="966"/>
      <c r="AL21" s="968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7" t="s">
        <v>395</v>
      </c>
      <c r="D25" s="977"/>
      <c r="E25" s="977"/>
      <c r="F25" s="977"/>
      <c r="G25" s="977"/>
      <c r="H25" s="978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1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1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872">
        <f t="shared" si="3"/>
        <v>0.52460452956366033</v>
      </c>
      <c r="E29" s="872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874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69">
        <v>1121.1924016000003</v>
      </c>
      <c r="C34" s="455">
        <f t="shared" si="4"/>
        <v>0.59536172014527056</v>
      </c>
      <c r="D34" s="455">
        <f t="shared" si="4"/>
        <v>0.55774433397814493</v>
      </c>
      <c r="E34" s="870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79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9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79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79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79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79"/>
      <c r="AD40" s="467" t="s">
        <v>423</v>
      </c>
      <c r="AE40" s="980" t="s">
        <v>424</v>
      </c>
      <c r="AF40" s="980"/>
      <c r="AG40" s="865" t="s">
        <v>409</v>
      </c>
      <c r="AH40" s="865" t="s">
        <v>410</v>
      </c>
      <c r="AI40" s="86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9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9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9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9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9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9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9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9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9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9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9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9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9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9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9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9"/>
      <c r="AG56" s="453"/>
    </row>
    <row r="57" spans="29:40" x14ac:dyDescent="0.25">
      <c r="AC57" s="979"/>
      <c r="AD57" s="425" t="s">
        <v>426</v>
      </c>
      <c r="AE57" s="492"/>
      <c r="AF57" s="492"/>
      <c r="AG57" s="493"/>
      <c r="AH57" s="494"/>
    </row>
    <row r="58" spans="29:40" x14ac:dyDescent="0.25">
      <c r="AC58" s="979"/>
      <c r="AD58" s="495" t="s">
        <v>419</v>
      </c>
      <c r="AE58" s="969" t="s">
        <v>427</v>
      </c>
      <c r="AF58" s="969"/>
      <c r="AG58" s="969"/>
      <c r="AH58" s="970"/>
      <c r="AN58" s="515" t="s">
        <v>241</v>
      </c>
    </row>
    <row r="59" spans="29:40" x14ac:dyDescent="0.25">
      <c r="AC59" s="979"/>
      <c r="AD59" s="495">
        <v>1</v>
      </c>
      <c r="AE59" s="984">
        <v>47.4</v>
      </c>
      <c r="AF59" s="969"/>
      <c r="AG59" s="969"/>
      <c r="AH59" s="970"/>
      <c r="AI59" s="380" t="s">
        <v>613</v>
      </c>
    </row>
    <row r="60" spans="29:40" x14ac:dyDescent="0.25">
      <c r="AC60" s="979"/>
      <c r="AD60" s="513">
        <v>2</v>
      </c>
      <c r="AE60" s="985">
        <v>42.7</v>
      </c>
      <c r="AF60" s="986"/>
      <c r="AG60" s="986"/>
      <c r="AH60" s="987"/>
      <c r="AI60" s="380" t="s">
        <v>435</v>
      </c>
    </row>
    <row r="61" spans="29:40" x14ac:dyDescent="0.25">
      <c r="AC61" s="979"/>
      <c r="AD61" s="496">
        <v>3</v>
      </c>
      <c r="AE61" s="988">
        <v>38</v>
      </c>
      <c r="AF61" s="975"/>
      <c r="AG61" s="975"/>
      <c r="AH61" s="976"/>
      <c r="AI61" s="380" t="s">
        <v>437</v>
      </c>
    </row>
    <row r="62" spans="29:40" x14ac:dyDescent="0.25">
      <c r="AC62" s="979"/>
      <c r="AD62" s="496">
        <v>4</v>
      </c>
      <c r="AE62" s="971">
        <v>22.8</v>
      </c>
      <c r="AF62" s="972"/>
      <c r="AG62" s="972"/>
      <c r="AH62" s="974"/>
      <c r="AI62" s="380" t="s">
        <v>436</v>
      </c>
    </row>
    <row r="63" spans="29:40" ht="15.75" thickBot="1" x14ac:dyDescent="0.3">
      <c r="AC63" s="979"/>
      <c r="AD63" s="514">
        <v>5</v>
      </c>
      <c r="AE63" s="981">
        <v>20.6</v>
      </c>
      <c r="AF63" s="982"/>
      <c r="AG63" s="982"/>
      <c r="AH63" s="983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3"/>
      <c r="L2" s="86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9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9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9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9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9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7" t="s">
        <v>384</v>
      </c>
      <c r="D8" s="977"/>
      <c r="E8" s="977"/>
      <c r="F8" s="977"/>
      <c r="G8" s="977"/>
      <c r="H8" s="978"/>
      <c r="J8" s="262" t="s">
        <v>385</v>
      </c>
      <c r="K8" s="252">
        <v>0.45</v>
      </c>
      <c r="L8" s="87" t="s">
        <v>184</v>
      </c>
      <c r="M8" s="381"/>
      <c r="AC8" s="979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9"/>
      <c r="AD9" s="467" t="s">
        <v>407</v>
      </c>
      <c r="AE9" s="980" t="s">
        <v>408</v>
      </c>
      <c r="AF9" s="980"/>
      <c r="AG9" s="865" t="s">
        <v>409</v>
      </c>
      <c r="AH9" s="865" t="s">
        <v>410</v>
      </c>
      <c r="AI9" s="86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979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9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873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9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979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9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979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9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14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979"/>
      <c r="AD17" s="495" t="s">
        <v>419</v>
      </c>
      <c r="AE17" s="984" t="s">
        <v>420</v>
      </c>
      <c r="AF17" s="969"/>
      <c r="AG17" s="969"/>
      <c r="AH17" s="992"/>
      <c r="AI17" s="969" t="s">
        <v>421</v>
      </c>
      <c r="AJ17" s="969"/>
      <c r="AK17" s="969"/>
      <c r="AL17" s="970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979"/>
      <c r="AD18" s="496">
        <v>1</v>
      </c>
      <c r="AE18" s="971">
        <v>40.9</v>
      </c>
      <c r="AF18" s="972"/>
      <c r="AG18" s="972"/>
      <c r="AH18" s="973"/>
      <c r="AI18" s="972">
        <v>30.6</v>
      </c>
      <c r="AJ18" s="972"/>
      <c r="AK18" s="972"/>
      <c r="AL18" s="97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9"/>
      <c r="AD19" s="496">
        <v>2</v>
      </c>
      <c r="AE19" s="971">
        <v>30.6</v>
      </c>
      <c r="AF19" s="972"/>
      <c r="AG19" s="972"/>
      <c r="AH19" s="973"/>
      <c r="AI19" s="975">
        <v>23</v>
      </c>
      <c r="AJ19" s="975"/>
      <c r="AK19" s="975"/>
      <c r="AL19" s="976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979"/>
      <c r="AD20" s="513">
        <v>3</v>
      </c>
      <c r="AE20" s="989">
        <v>23</v>
      </c>
      <c r="AF20" s="963"/>
      <c r="AG20" s="963"/>
      <c r="AH20" s="990"/>
      <c r="AI20" s="963">
        <v>17.2</v>
      </c>
      <c r="AJ20" s="963"/>
      <c r="AK20" s="963"/>
      <c r="AL20" s="964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9"/>
      <c r="AD21" s="497">
        <v>4</v>
      </c>
      <c r="AE21" s="965">
        <v>17.2</v>
      </c>
      <c r="AF21" s="966"/>
      <c r="AG21" s="966"/>
      <c r="AH21" s="967"/>
      <c r="AI21" s="966">
        <v>12.9</v>
      </c>
      <c r="AJ21" s="966"/>
      <c r="AK21" s="966"/>
      <c r="AL21" s="968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7" t="s">
        <v>395</v>
      </c>
      <c r="D25" s="977"/>
      <c r="E25" s="977"/>
      <c r="F25" s="977"/>
      <c r="G25" s="977"/>
      <c r="H25" s="978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991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1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872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869">
        <v>1121.1924016000003</v>
      </c>
      <c r="C34" s="455">
        <f t="shared" si="4"/>
        <v>0.58180002762512295</v>
      </c>
      <c r="D34" s="455">
        <f t="shared" si="4"/>
        <v>0.54388775948976442</v>
      </c>
      <c r="E34" s="870">
        <f t="shared" si="4"/>
        <v>0.52780253274979638</v>
      </c>
      <c r="F34" s="874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979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9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979"/>
    </row>
    <row r="38" spans="2:40" ht="15.75" thickBot="1" x14ac:dyDescent="0.3">
      <c r="B38" s="438">
        <v>760</v>
      </c>
      <c r="C38" s="455">
        <f t="shared" si="5"/>
        <v>0.60377182634625981</v>
      </c>
      <c r="D38" s="677">
        <f t="shared" si="5"/>
        <v>0.56636682765773416</v>
      </c>
      <c r="E38" s="677">
        <f t="shared" si="5"/>
        <v>0.55041905814183001</v>
      </c>
      <c r="F38" s="455">
        <f t="shared" si="5"/>
        <v>0.53332532293149859</v>
      </c>
      <c r="G38" s="455"/>
      <c r="H38" s="456"/>
      <c r="AC38" s="979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979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979"/>
      <c r="AD40" s="467" t="s">
        <v>423</v>
      </c>
      <c r="AE40" s="980" t="s">
        <v>424</v>
      </c>
      <c r="AF40" s="980"/>
      <c r="AG40" s="865" t="s">
        <v>409</v>
      </c>
      <c r="AH40" s="865" t="s">
        <v>410</v>
      </c>
      <c r="AI40" s="86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9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9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9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9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9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9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9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9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9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9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9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9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9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9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9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9"/>
      <c r="AG56" s="453"/>
    </row>
    <row r="57" spans="29:40" x14ac:dyDescent="0.25">
      <c r="AC57" s="979"/>
      <c r="AD57" s="425" t="s">
        <v>426</v>
      </c>
      <c r="AE57" s="492"/>
      <c r="AF57" s="492"/>
      <c r="AG57" s="493"/>
      <c r="AH57" s="494"/>
    </row>
    <row r="58" spans="29:40" x14ac:dyDescent="0.25">
      <c r="AC58" s="979"/>
      <c r="AD58" s="495" t="s">
        <v>419</v>
      </c>
      <c r="AE58" s="969" t="s">
        <v>427</v>
      </c>
      <c r="AF58" s="969"/>
      <c r="AG58" s="969"/>
      <c r="AH58" s="970"/>
      <c r="AN58" s="515" t="s">
        <v>241</v>
      </c>
    </row>
    <row r="59" spans="29:40" x14ac:dyDescent="0.25">
      <c r="AC59" s="979"/>
      <c r="AD59" s="495">
        <v>1</v>
      </c>
      <c r="AE59" s="984">
        <v>47.4</v>
      </c>
      <c r="AF59" s="969"/>
      <c r="AG59" s="969"/>
      <c r="AH59" s="970"/>
      <c r="AI59" s="380" t="s">
        <v>613</v>
      </c>
    </row>
    <row r="60" spans="29:40" x14ac:dyDescent="0.25">
      <c r="AC60" s="979"/>
      <c r="AD60" s="513">
        <v>2</v>
      </c>
      <c r="AE60" s="985">
        <v>42.7</v>
      </c>
      <c r="AF60" s="986"/>
      <c r="AG60" s="986"/>
      <c r="AH60" s="987"/>
      <c r="AI60" s="380" t="s">
        <v>435</v>
      </c>
    </row>
    <row r="61" spans="29:40" x14ac:dyDescent="0.25">
      <c r="AC61" s="979"/>
      <c r="AD61" s="496">
        <v>3</v>
      </c>
      <c r="AE61" s="988">
        <v>38</v>
      </c>
      <c r="AF61" s="975"/>
      <c r="AG61" s="975"/>
      <c r="AH61" s="976"/>
      <c r="AI61" s="380" t="s">
        <v>437</v>
      </c>
    </row>
    <row r="62" spans="29:40" x14ac:dyDescent="0.25">
      <c r="AC62" s="979"/>
      <c r="AD62" s="496">
        <v>4</v>
      </c>
      <c r="AE62" s="971">
        <v>22.8</v>
      </c>
      <c r="AF62" s="972"/>
      <c r="AG62" s="972"/>
      <c r="AH62" s="974"/>
      <c r="AI62" s="380" t="s">
        <v>436</v>
      </c>
    </row>
    <row r="63" spans="29:40" ht="15.75" thickBot="1" x14ac:dyDescent="0.3">
      <c r="AC63" s="979"/>
      <c r="AD63" s="514">
        <v>5</v>
      </c>
      <c r="AE63" s="981">
        <v>20.6</v>
      </c>
      <c r="AF63" s="982"/>
      <c r="AG63" s="982"/>
      <c r="AH63" s="983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I27" sqref="I27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61" t="s">
        <v>573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654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78" t="s">
        <v>26</v>
      </c>
      <c r="C13" s="720">
        <v>127</v>
      </c>
      <c r="D13" s="680">
        <v>193</v>
      </c>
      <c r="E13" s="680" t="s">
        <v>217</v>
      </c>
      <c r="F13" s="680">
        <v>1</v>
      </c>
      <c r="G13" s="681">
        <v>0.8</v>
      </c>
      <c r="H13" s="682">
        <f t="shared" si="0"/>
        <v>123.52000000000002</v>
      </c>
      <c r="I13" s="683">
        <f>($O$7/G13/2)/D13</f>
        <v>13.080529468911918</v>
      </c>
      <c r="J13" s="684">
        <f>$O$10-(C13-I13)</f>
        <v>14.056529468911918</v>
      </c>
      <c r="K13" s="684">
        <v>5</v>
      </c>
      <c r="L13" s="685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78" t="s">
        <v>27</v>
      </c>
      <c r="C27" s="679">
        <v>152</v>
      </c>
      <c r="D27" s="680">
        <v>193</v>
      </c>
      <c r="E27" s="680" t="s">
        <v>234</v>
      </c>
      <c r="F27" s="680">
        <v>1</v>
      </c>
      <c r="G27" s="681">
        <v>0.8</v>
      </c>
      <c r="H27" s="682">
        <f t="shared" si="8"/>
        <v>123.52000000000002</v>
      </c>
      <c r="I27" s="683">
        <f t="shared" si="9"/>
        <v>16.304995142487044</v>
      </c>
      <c r="J27" s="684">
        <f t="shared" si="10"/>
        <v>11.16799514248703</v>
      </c>
      <c r="K27" s="684">
        <v>5</v>
      </c>
      <c r="L27" s="685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996" t="s">
        <v>245</v>
      </c>
      <c r="W2" s="996"/>
      <c r="X2" s="996"/>
      <c r="Y2" s="996"/>
      <c r="Z2" s="996"/>
      <c r="AA2" s="996"/>
      <c r="AB2" s="996"/>
      <c r="AC2" s="996"/>
      <c r="AD2" s="996"/>
      <c r="AE2" s="996"/>
      <c r="AF2" s="996"/>
      <c r="AG2" s="996"/>
    </row>
    <row r="3" spans="2:33" x14ac:dyDescent="0.25">
      <c r="B3" t="s">
        <v>54</v>
      </c>
    </row>
    <row r="4" spans="2:33" x14ac:dyDescent="0.25">
      <c r="V4" s="322" t="s">
        <v>243</v>
      </c>
      <c r="W4" s="997" t="s">
        <v>246</v>
      </c>
      <c r="X4" s="997"/>
      <c r="Y4" s="997"/>
      <c r="Z4" s="997"/>
      <c r="AA4" s="997"/>
      <c r="AB4" s="997"/>
      <c r="AC4" s="997"/>
      <c r="AD4" s="997"/>
      <c r="AE4" s="997"/>
      <c r="AF4" s="997"/>
      <c r="AG4" s="998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993" t="s">
        <v>239</v>
      </c>
      <c r="D6" s="994"/>
      <c r="E6" s="994"/>
      <c r="F6" s="994"/>
      <c r="G6" s="994"/>
      <c r="H6" s="995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997" t="s">
        <v>246</v>
      </c>
      <c r="X18" s="997"/>
      <c r="Y18" s="997"/>
      <c r="Z18" s="997"/>
      <c r="AA18" s="997"/>
      <c r="AB18" s="997"/>
      <c r="AC18" s="997"/>
      <c r="AD18" s="997"/>
      <c r="AE18" s="997"/>
      <c r="AF18" s="997"/>
      <c r="AG18" s="998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999" t="s">
        <v>135</v>
      </c>
      <c r="H2" s="1000"/>
      <c r="I2" s="1000"/>
      <c r="J2" s="1000"/>
      <c r="K2" s="1000"/>
      <c r="L2" s="1000"/>
      <c r="M2" s="1000"/>
      <c r="N2" s="1000"/>
      <c r="O2" s="1000"/>
      <c r="P2" s="1000"/>
      <c r="Q2" s="1001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02" t="s">
        <v>177</v>
      </c>
      <c r="H4" s="1003"/>
      <c r="I4" s="1004"/>
      <c r="J4" s="381"/>
      <c r="K4" s="381"/>
      <c r="L4" s="381"/>
      <c r="M4" s="1002" t="s">
        <v>179</v>
      </c>
      <c r="N4" s="1003"/>
      <c r="O4" s="1003"/>
      <c r="P4" s="1003"/>
      <c r="Q4" s="1004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602</v>
      </c>
    </row>
    <row r="16" spans="2:19" x14ac:dyDescent="0.25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615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815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815">
        <v>0.8</v>
      </c>
      <c r="D22" s="554">
        <f t="shared" ref="D22:D27" si="0">1-C22</f>
        <v>0.19999999999999996</v>
      </c>
      <c r="E22" s="561"/>
      <c r="G22" s="1007" t="s">
        <v>178</v>
      </c>
      <c r="H22" s="1008"/>
      <c r="I22" s="1009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815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010">
        <f>N21/(N21+O21)</f>
        <v>0.50054767303688963</v>
      </c>
      <c r="O23" s="1010"/>
      <c r="P23" s="711" t="s">
        <v>184</v>
      </c>
      <c r="Q23" s="87"/>
      <c r="S23">
        <v>1282</v>
      </c>
    </row>
    <row r="24" spans="2:19" x14ac:dyDescent="0.25">
      <c r="B24" s="552" t="s">
        <v>438</v>
      </c>
      <c r="C24" s="815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005">
        <v>3.6</v>
      </c>
      <c r="O24" s="1005"/>
      <c r="P24" s="711" t="s">
        <v>184</v>
      </c>
      <c r="Q24" s="87"/>
      <c r="S24">
        <v>1124</v>
      </c>
    </row>
    <row r="25" spans="2:19" x14ac:dyDescent="0.25">
      <c r="B25" s="552" t="s">
        <v>441</v>
      </c>
      <c r="C25" s="815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006">
        <f>(N21+O21)/N24</f>
        <v>1217.6368519453511</v>
      </c>
      <c r="O25" s="1006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815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614</v>
      </c>
      <c r="C27" s="815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816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615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61" t="s">
        <v>616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33"/>
  <sheetViews>
    <sheetView showGridLines="0" zoomScaleNormal="100" workbookViewId="0">
      <selection activeCell="D11" sqref="D11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011" t="s">
        <v>109</v>
      </c>
      <c r="C2" s="1012"/>
      <c r="D2" s="1012"/>
      <c r="E2" s="1012"/>
      <c r="F2" s="1012"/>
      <c r="G2" s="1012"/>
      <c r="H2" s="1012"/>
      <c r="I2" s="1012"/>
      <c r="J2" s="1012"/>
      <c r="K2" s="1012"/>
      <c r="L2" s="1012"/>
      <c r="M2" s="1012"/>
      <c r="N2" s="1013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014" t="s">
        <v>115</v>
      </c>
      <c r="AA2" s="1015"/>
      <c r="AC2" s="1016" t="s">
        <v>116</v>
      </c>
      <c r="AD2" s="1017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018" t="s">
        <v>13</v>
      </c>
      <c r="C2" s="1019"/>
      <c r="D2" s="1019"/>
      <c r="E2" s="1019"/>
      <c r="F2" s="1020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018" t="s">
        <v>17</v>
      </c>
      <c r="C16" s="1019"/>
      <c r="D16" s="1019"/>
      <c r="E16" s="1019"/>
      <c r="F16" s="1019"/>
      <c r="G16" s="1019"/>
      <c r="H16" s="1020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011" t="s">
        <v>109</v>
      </c>
      <c r="C2" s="1012"/>
      <c r="D2" s="1012"/>
      <c r="E2" s="1012"/>
      <c r="F2" s="1012"/>
      <c r="G2" s="1012"/>
      <c r="H2" s="1012"/>
      <c r="I2" s="1012"/>
      <c r="J2" s="1012"/>
      <c r="K2" s="1012"/>
      <c r="L2" s="1012"/>
      <c r="M2" s="1012"/>
      <c r="N2" s="1013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75"/>
      <c r="C2" s="778" t="s">
        <v>504</v>
      </c>
      <c r="D2" s="171"/>
      <c r="E2" s="171"/>
      <c r="F2" s="171"/>
      <c r="G2" s="778" t="s">
        <v>588</v>
      </c>
      <c r="H2" s="171"/>
      <c r="I2" s="171"/>
      <c r="J2" s="779"/>
      <c r="L2" s="780">
        <v>44289</v>
      </c>
    </row>
    <row r="3" spans="2:15" x14ac:dyDescent="0.25">
      <c r="B3" s="663" t="s">
        <v>254</v>
      </c>
      <c r="C3" s="94" t="s">
        <v>533</v>
      </c>
      <c r="D3" s="381" t="s">
        <v>534</v>
      </c>
      <c r="E3" s="381" t="s">
        <v>535</v>
      </c>
      <c r="F3" s="381" t="s">
        <v>536</v>
      </c>
      <c r="G3" s="94" t="s">
        <v>533</v>
      </c>
      <c r="H3" s="381" t="s">
        <v>534</v>
      </c>
      <c r="I3" s="381" t="s">
        <v>535</v>
      </c>
      <c r="J3" s="382" t="s">
        <v>536</v>
      </c>
      <c r="L3" t="s">
        <v>592</v>
      </c>
    </row>
    <row r="4" spans="2:15" x14ac:dyDescent="0.25">
      <c r="B4" s="663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77">
        <v>-1300</v>
      </c>
      <c r="L4" t="s">
        <v>593</v>
      </c>
    </row>
    <row r="5" spans="2:15" x14ac:dyDescent="0.25">
      <c r="B5" s="663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77">
        <v>-130</v>
      </c>
      <c r="L5" t="s">
        <v>594</v>
      </c>
    </row>
    <row r="6" spans="2:15" x14ac:dyDescent="0.25">
      <c r="B6" s="663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77">
        <v>330</v>
      </c>
    </row>
    <row r="7" spans="2:15" x14ac:dyDescent="0.25">
      <c r="B7" s="663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77">
        <v>1240</v>
      </c>
      <c r="L7" t="s">
        <v>595</v>
      </c>
      <c r="M7">
        <f>C11+D11+E11+F11</f>
        <v>1158.5</v>
      </c>
      <c r="N7" t="s">
        <v>198</v>
      </c>
      <c r="O7" t="s">
        <v>597</v>
      </c>
    </row>
    <row r="8" spans="2:15" x14ac:dyDescent="0.25">
      <c r="B8" s="663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77">
        <v>2110</v>
      </c>
      <c r="L8" t="s">
        <v>596</v>
      </c>
      <c r="M8" s="454">
        <f>SUM(C11:D11)/SUM(C11:F11)</f>
        <v>0.43763487268018991</v>
      </c>
    </row>
    <row r="9" spans="2:15" x14ac:dyDescent="0.25">
      <c r="B9" s="663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77">
        <v>2870</v>
      </c>
    </row>
    <row r="10" spans="2:15" x14ac:dyDescent="0.25">
      <c r="B10" s="663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77">
        <v>4050</v>
      </c>
    </row>
    <row r="11" spans="2:15" x14ac:dyDescent="0.25">
      <c r="B11" s="663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77">
        <v>5480</v>
      </c>
    </row>
    <row r="12" spans="2:15" x14ac:dyDescent="0.25">
      <c r="B12" s="663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63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63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63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64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75"/>
      <c r="C19" s="80" t="s">
        <v>591</v>
      </c>
      <c r="D19" s="172"/>
      <c r="E19" s="172"/>
      <c r="F19" s="172"/>
      <c r="G19" s="80" t="s">
        <v>590</v>
      </c>
      <c r="H19" s="172"/>
      <c r="I19" s="776"/>
    </row>
    <row r="20" spans="2:10" s="380" customFormat="1" x14ac:dyDescent="0.25">
      <c r="B20" s="663"/>
      <c r="C20" s="381" t="s">
        <v>139</v>
      </c>
      <c r="D20" s="381" t="s">
        <v>589</v>
      </c>
      <c r="E20" s="381"/>
      <c r="F20" s="381"/>
      <c r="G20" s="381" t="s">
        <v>139</v>
      </c>
      <c r="H20" s="381" t="s">
        <v>589</v>
      </c>
      <c r="I20" s="777"/>
    </row>
    <row r="21" spans="2:10" x14ac:dyDescent="0.25">
      <c r="B21" s="663" t="s">
        <v>533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785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63" t="s">
        <v>534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63" t="s">
        <v>535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785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64" t="s">
        <v>536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586</v>
      </c>
      <c r="H2" t="s">
        <v>587</v>
      </c>
      <c r="J2" t="s">
        <v>600</v>
      </c>
      <c r="K2" t="s">
        <v>601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  <c r="J3" s="773">
        <v>0</v>
      </c>
      <c r="K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  <c r="J4" s="773">
        <v>2</v>
      </c>
      <c r="K4" s="773">
        <v>2</v>
      </c>
    </row>
    <row r="5" spans="2:18" s="380" customFormat="1" x14ac:dyDescent="0.25">
      <c r="B5" s="772" t="s">
        <v>585</v>
      </c>
      <c r="C5" s="773">
        <v>10</v>
      </c>
      <c r="F5" s="773">
        <v>20</v>
      </c>
      <c r="H5" s="773">
        <v>20</v>
      </c>
      <c r="J5" s="773">
        <v>10</v>
      </c>
      <c r="K5" s="773">
        <v>10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  <c r="J6" s="773">
        <v>1</v>
      </c>
      <c r="K6" s="773">
        <v>1</v>
      </c>
    </row>
    <row r="7" spans="2:18" x14ac:dyDescent="0.25">
      <c r="B7" s="772" t="s">
        <v>579</v>
      </c>
      <c r="C7" s="773">
        <v>2</v>
      </c>
      <c r="F7" s="773">
        <v>1</v>
      </c>
      <c r="H7" s="773">
        <v>1</v>
      </c>
      <c r="J7" s="773">
        <v>1.5</v>
      </c>
      <c r="K7" s="773">
        <v>2</v>
      </c>
    </row>
    <row r="8" spans="2:18" s="380" customFormat="1" x14ac:dyDescent="0.25">
      <c r="B8" s="772" t="s">
        <v>599</v>
      </c>
      <c r="C8" s="773">
        <v>4</v>
      </c>
      <c r="F8" s="773"/>
      <c r="H8" s="773"/>
      <c r="J8" s="773">
        <v>3</v>
      </c>
      <c r="K8" s="773">
        <v>4</v>
      </c>
    </row>
    <row r="10" spans="2:18" x14ac:dyDescent="0.25">
      <c r="B10" s="772" t="s">
        <v>581</v>
      </c>
      <c r="C10" s="769" t="s">
        <v>583</v>
      </c>
      <c r="D10" s="770"/>
      <c r="E10" s="770"/>
      <c r="F10" s="770"/>
      <c r="G10" s="770"/>
      <c r="H10" s="770"/>
      <c r="I10" s="770"/>
      <c r="J10" s="770"/>
      <c r="K10" s="770"/>
      <c r="L10" s="770"/>
      <c r="M10" s="770"/>
      <c r="N10" s="770"/>
      <c r="O10" s="770"/>
      <c r="P10" s="770"/>
      <c r="Q10" s="770"/>
      <c r="R10" s="770"/>
    </row>
    <row r="11" spans="2:18" x14ac:dyDescent="0.25">
      <c r="B11" s="767" t="s">
        <v>582</v>
      </c>
      <c r="C11" s="770">
        <v>0</v>
      </c>
      <c r="D11" s="770">
        <v>1000</v>
      </c>
      <c r="E11" s="770">
        <v>2000</v>
      </c>
      <c r="F11" s="770">
        <v>3000</v>
      </c>
      <c r="G11" s="770">
        <v>4000</v>
      </c>
      <c r="H11" s="770">
        <v>5000</v>
      </c>
      <c r="I11" s="770">
        <v>6000</v>
      </c>
      <c r="J11" s="770">
        <v>7000</v>
      </c>
      <c r="K11" s="770">
        <v>8000</v>
      </c>
      <c r="L11" s="770">
        <v>9000</v>
      </c>
      <c r="M11" s="770">
        <v>10000</v>
      </c>
      <c r="N11" s="770">
        <v>11000</v>
      </c>
      <c r="O11" s="770">
        <v>12000</v>
      </c>
      <c r="P11" s="770">
        <v>13000</v>
      </c>
      <c r="Q11" s="770">
        <v>14000</v>
      </c>
      <c r="R11" s="770">
        <v>15000</v>
      </c>
    </row>
    <row r="12" spans="2:18" x14ac:dyDescent="0.25">
      <c r="B12" s="768">
        <v>0</v>
      </c>
      <c r="C12" s="771">
        <v>0</v>
      </c>
      <c r="D12" s="771">
        <v>0</v>
      </c>
      <c r="E12" s="771">
        <v>0</v>
      </c>
      <c r="F12" s="771">
        <v>0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2000</v>
      </c>
      <c r="C13" s="771">
        <v>10</v>
      </c>
      <c r="D13" s="771">
        <v>8.5</v>
      </c>
      <c r="E13" s="771">
        <v>7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4000</v>
      </c>
      <c r="C14" s="771">
        <v>10</v>
      </c>
      <c r="D14" s="771">
        <v>10</v>
      </c>
      <c r="E14" s="771">
        <v>9.5</v>
      </c>
      <c r="F14" s="771">
        <v>8.5</v>
      </c>
      <c r="G14" s="771">
        <v>7.5</v>
      </c>
      <c r="H14" s="771">
        <v>5.5</v>
      </c>
      <c r="I14" s="771">
        <v>3.5</v>
      </c>
      <c r="J14" s="771">
        <v>2</v>
      </c>
      <c r="K14" s="771">
        <v>1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6000</v>
      </c>
      <c r="C15" s="771">
        <v>8.5</v>
      </c>
      <c r="D15" s="771">
        <v>8.5</v>
      </c>
      <c r="E15" s="771">
        <v>8.5</v>
      </c>
      <c r="F15" s="771">
        <v>8.5</v>
      </c>
      <c r="G15" s="771">
        <v>8</v>
      </c>
      <c r="H15" s="771">
        <v>7.5</v>
      </c>
      <c r="I15" s="771">
        <v>6.5</v>
      </c>
      <c r="J15" s="771">
        <v>5</v>
      </c>
      <c r="K15" s="771">
        <v>3.5</v>
      </c>
      <c r="L15" s="771">
        <v>2.5</v>
      </c>
      <c r="M15" s="771">
        <v>1.5</v>
      </c>
      <c r="N15" s="771">
        <v>0.5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8000</v>
      </c>
      <c r="C16" s="771">
        <v>7.5</v>
      </c>
      <c r="D16" s="771">
        <v>7.5</v>
      </c>
      <c r="E16" s="771">
        <v>7.5</v>
      </c>
      <c r="F16" s="771">
        <v>7</v>
      </c>
      <c r="G16" s="771">
        <v>7</v>
      </c>
      <c r="H16" s="771">
        <v>6.5</v>
      </c>
      <c r="I16" s="771">
        <v>6.5</v>
      </c>
      <c r="J16" s="771">
        <v>6</v>
      </c>
      <c r="K16" s="771">
        <v>5.5</v>
      </c>
      <c r="L16" s="771">
        <v>4.5</v>
      </c>
      <c r="M16" s="771">
        <v>3.5</v>
      </c>
      <c r="N16" s="771">
        <v>2.5</v>
      </c>
      <c r="O16" s="771">
        <v>1.5</v>
      </c>
      <c r="P16" s="771">
        <v>0.5</v>
      </c>
      <c r="Q16" s="771">
        <v>0</v>
      </c>
      <c r="R16" s="771">
        <v>0</v>
      </c>
    </row>
    <row r="17" spans="2:23" x14ac:dyDescent="0.25">
      <c r="B17" s="768">
        <v>10000</v>
      </c>
      <c r="C17" s="771">
        <v>6</v>
      </c>
      <c r="D17" s="771">
        <v>6</v>
      </c>
      <c r="E17" s="771">
        <v>6</v>
      </c>
      <c r="F17" s="771">
        <v>6</v>
      </c>
      <c r="G17" s="771">
        <v>6</v>
      </c>
      <c r="H17" s="771">
        <v>5.5</v>
      </c>
      <c r="I17" s="771">
        <v>5.5</v>
      </c>
      <c r="J17" s="771">
        <v>5.5</v>
      </c>
      <c r="K17" s="771">
        <v>5.5</v>
      </c>
      <c r="L17" s="771">
        <v>5</v>
      </c>
      <c r="M17" s="771">
        <v>4.5</v>
      </c>
      <c r="N17" s="771">
        <v>4</v>
      </c>
      <c r="O17" s="771">
        <v>3</v>
      </c>
      <c r="P17" s="771">
        <v>2</v>
      </c>
      <c r="Q17" s="771">
        <v>1.5</v>
      </c>
      <c r="R17" s="771">
        <v>1</v>
      </c>
    </row>
    <row r="19" spans="2:23" x14ac:dyDescent="0.25">
      <c r="B19" s="772" t="s">
        <v>584</v>
      </c>
      <c r="C19" s="769" t="s">
        <v>583</v>
      </c>
      <c r="D19" s="770"/>
      <c r="E19" s="770"/>
      <c r="F19" s="770"/>
      <c r="G19" s="770"/>
      <c r="H19" s="770"/>
      <c r="I19" s="770"/>
      <c r="J19" s="770"/>
      <c r="K19" s="770"/>
      <c r="L19" s="770"/>
      <c r="M19" s="770"/>
      <c r="N19" s="770"/>
      <c r="O19" s="770"/>
      <c r="P19" s="770"/>
      <c r="Q19" s="770"/>
      <c r="R19" s="770"/>
    </row>
    <row r="20" spans="2:23" x14ac:dyDescent="0.25">
      <c r="B20" s="767" t="s">
        <v>582</v>
      </c>
      <c r="C20" s="770">
        <v>0</v>
      </c>
      <c r="D20" s="770">
        <v>1000</v>
      </c>
      <c r="E20" s="770">
        <v>2000</v>
      </c>
      <c r="F20" s="770">
        <v>3000</v>
      </c>
      <c r="G20" s="770">
        <v>4000</v>
      </c>
      <c r="H20" s="770">
        <v>5000</v>
      </c>
      <c r="I20" s="770">
        <v>6000</v>
      </c>
      <c r="J20" s="770">
        <v>7000</v>
      </c>
      <c r="K20" s="770">
        <v>8000</v>
      </c>
      <c r="L20" s="770">
        <v>9000</v>
      </c>
      <c r="M20" s="770">
        <v>10000</v>
      </c>
      <c r="N20" s="770">
        <v>11000</v>
      </c>
      <c r="O20" s="770">
        <v>12000</v>
      </c>
      <c r="P20" s="770">
        <v>13000</v>
      </c>
      <c r="Q20" s="770">
        <v>14000</v>
      </c>
      <c r="R20" s="770">
        <v>15000</v>
      </c>
    </row>
    <row r="21" spans="2:23" x14ac:dyDescent="0.25">
      <c r="B21" s="768">
        <v>0</v>
      </c>
      <c r="C21" s="771">
        <f>MAX(MIN(MAX((C12+$C$3),$C$4)*(1+($B21/($B$26-$B$21)*($C$6-1)))*(1+(C$20/($R$20-$C$20)*($C$7-1))),$C$5),$C$8)</f>
        <v>4</v>
      </c>
      <c r="D21" s="771">
        <f t="shared" ref="D21:R21" si="0">MAX(MIN(MAX((D12+$C$3),$C$4)*(1+($B21/($B$26-$B$21)*($C$6-1)))*(1+(D$20/($R$20-$C$20)*($C$7-1))),$C$5),$C$8)</f>
        <v>4</v>
      </c>
      <c r="E21" s="771">
        <f t="shared" si="0"/>
        <v>4</v>
      </c>
      <c r="F21" s="771">
        <f t="shared" si="0"/>
        <v>4</v>
      </c>
      <c r="G21" s="771">
        <f t="shared" si="0"/>
        <v>4</v>
      </c>
      <c r="H21" s="771">
        <f t="shared" si="0"/>
        <v>4</v>
      </c>
      <c r="I21" s="771">
        <f t="shared" si="0"/>
        <v>4</v>
      </c>
      <c r="J21" s="771">
        <f t="shared" si="0"/>
        <v>4</v>
      </c>
      <c r="K21" s="771">
        <f t="shared" si="0"/>
        <v>4</v>
      </c>
      <c r="L21" s="771">
        <f t="shared" si="0"/>
        <v>4</v>
      </c>
      <c r="M21" s="771">
        <f t="shared" si="0"/>
        <v>4</v>
      </c>
      <c r="N21" s="771">
        <f t="shared" si="0"/>
        <v>4</v>
      </c>
      <c r="O21" s="771">
        <f t="shared" si="0"/>
        <v>4</v>
      </c>
      <c r="P21" s="771">
        <f t="shared" si="0"/>
        <v>4</v>
      </c>
      <c r="Q21" s="771">
        <f t="shared" si="0"/>
        <v>4</v>
      </c>
      <c r="R21" s="771">
        <f t="shared" si="0"/>
        <v>4</v>
      </c>
      <c r="S21" s="774"/>
    </row>
    <row r="22" spans="2:23" x14ac:dyDescent="0.25">
      <c r="B22" s="768">
        <v>2000</v>
      </c>
      <c r="C22" s="771">
        <f t="shared" ref="C22:R26" si="1">MAX(MIN(MAX((C13+$C$3),$C$4)*(1+($B22/($B$26-$B$21)*($C$6-1)))*(1+(C$20/($R$20-$C$20)*($C$7-1))),$C$5),$C$8)</f>
        <v>10</v>
      </c>
      <c r="D22" s="771">
        <f t="shared" si="1"/>
        <v>9.0666666666666664</v>
      </c>
      <c r="E22" s="771">
        <f t="shared" si="1"/>
        <v>7.9333333333333336</v>
      </c>
      <c r="F22" s="771">
        <f t="shared" si="1"/>
        <v>6</v>
      </c>
      <c r="G22" s="771">
        <f t="shared" si="1"/>
        <v>4</v>
      </c>
      <c r="H22" s="771">
        <f t="shared" si="1"/>
        <v>4</v>
      </c>
      <c r="I22" s="771">
        <f t="shared" si="1"/>
        <v>4</v>
      </c>
      <c r="J22" s="771">
        <f t="shared" si="1"/>
        <v>4</v>
      </c>
      <c r="K22" s="771">
        <f t="shared" si="1"/>
        <v>4</v>
      </c>
      <c r="L22" s="771">
        <f t="shared" si="1"/>
        <v>4</v>
      </c>
      <c r="M22" s="771">
        <f t="shared" si="1"/>
        <v>4</v>
      </c>
      <c r="N22" s="771">
        <f t="shared" si="1"/>
        <v>4</v>
      </c>
      <c r="O22" s="771">
        <f t="shared" si="1"/>
        <v>4</v>
      </c>
      <c r="P22" s="771">
        <f t="shared" si="1"/>
        <v>4</v>
      </c>
      <c r="Q22" s="771">
        <f t="shared" si="1"/>
        <v>4</v>
      </c>
      <c r="R22" s="771">
        <f t="shared" si="1"/>
        <v>4</v>
      </c>
      <c r="S22" s="774"/>
      <c r="T22" s="774"/>
      <c r="U22" s="774"/>
      <c r="V22" s="774"/>
      <c r="W22" s="774"/>
    </row>
    <row r="23" spans="2:23" x14ac:dyDescent="0.25">
      <c r="B23" s="768">
        <v>4000</v>
      </c>
      <c r="C23" s="771">
        <f t="shared" si="1"/>
        <v>10</v>
      </c>
      <c r="D23" s="771">
        <f t="shared" si="1"/>
        <v>10</v>
      </c>
      <c r="E23" s="771">
        <f t="shared" si="1"/>
        <v>10</v>
      </c>
      <c r="F23" s="771">
        <f t="shared" si="1"/>
        <v>10</v>
      </c>
      <c r="G23" s="771">
        <f t="shared" si="1"/>
        <v>9.5</v>
      </c>
      <c r="H23" s="771">
        <f t="shared" si="1"/>
        <v>7.333333333333333</v>
      </c>
      <c r="I23" s="771">
        <f t="shared" si="1"/>
        <v>4.8999999999999995</v>
      </c>
      <c r="J23" s="771">
        <f t="shared" si="1"/>
        <v>4</v>
      </c>
      <c r="K23" s="771">
        <f t="shared" si="1"/>
        <v>4</v>
      </c>
      <c r="L23" s="771">
        <f t="shared" si="1"/>
        <v>4</v>
      </c>
      <c r="M23" s="771">
        <f t="shared" si="1"/>
        <v>4</v>
      </c>
      <c r="N23" s="771">
        <f t="shared" si="1"/>
        <v>4</v>
      </c>
      <c r="O23" s="771">
        <f t="shared" si="1"/>
        <v>4</v>
      </c>
      <c r="P23" s="771">
        <f t="shared" si="1"/>
        <v>4</v>
      </c>
      <c r="Q23" s="771">
        <f t="shared" si="1"/>
        <v>4</v>
      </c>
      <c r="R23" s="771">
        <f t="shared" si="1"/>
        <v>4</v>
      </c>
      <c r="S23" s="774"/>
    </row>
    <row r="24" spans="2:23" x14ac:dyDescent="0.25">
      <c r="B24" s="768">
        <v>6000</v>
      </c>
      <c r="C24" s="771">
        <f t="shared" si="1"/>
        <v>8.5</v>
      </c>
      <c r="D24" s="771">
        <f t="shared" si="1"/>
        <v>9.0666666666666664</v>
      </c>
      <c r="E24" s="771">
        <f t="shared" si="1"/>
        <v>9.6333333333333329</v>
      </c>
      <c r="F24" s="771">
        <f t="shared" si="1"/>
        <v>10</v>
      </c>
      <c r="G24" s="771">
        <f t="shared" si="1"/>
        <v>10</v>
      </c>
      <c r="H24" s="771">
        <f t="shared" si="1"/>
        <v>10</v>
      </c>
      <c r="I24" s="771">
        <f t="shared" si="1"/>
        <v>9.1</v>
      </c>
      <c r="J24" s="771">
        <f t="shared" si="1"/>
        <v>7.3333333333333339</v>
      </c>
      <c r="K24" s="771">
        <f t="shared" si="1"/>
        <v>5.3666666666666663</v>
      </c>
      <c r="L24" s="771">
        <f t="shared" si="1"/>
        <v>4</v>
      </c>
      <c r="M24" s="771">
        <f t="shared" si="1"/>
        <v>4</v>
      </c>
      <c r="N24" s="771">
        <f t="shared" si="1"/>
        <v>4</v>
      </c>
      <c r="O24" s="771">
        <f t="shared" si="1"/>
        <v>4</v>
      </c>
      <c r="P24" s="771">
        <f t="shared" si="1"/>
        <v>4</v>
      </c>
      <c r="Q24" s="771">
        <f t="shared" si="1"/>
        <v>4</v>
      </c>
      <c r="R24" s="771">
        <f t="shared" si="1"/>
        <v>4</v>
      </c>
      <c r="S24" s="774"/>
    </row>
    <row r="25" spans="2:23" x14ac:dyDescent="0.25">
      <c r="B25" s="768">
        <v>8000</v>
      </c>
      <c r="C25" s="771">
        <f t="shared" si="1"/>
        <v>7.5</v>
      </c>
      <c r="D25" s="771">
        <f t="shared" si="1"/>
        <v>8</v>
      </c>
      <c r="E25" s="771">
        <f t="shared" si="1"/>
        <v>8.5</v>
      </c>
      <c r="F25" s="771">
        <f t="shared" si="1"/>
        <v>8.4</v>
      </c>
      <c r="G25" s="771">
        <f t="shared" si="1"/>
        <v>8.8666666666666671</v>
      </c>
      <c r="H25" s="771">
        <f t="shared" si="1"/>
        <v>8.6666666666666661</v>
      </c>
      <c r="I25" s="771">
        <f t="shared" si="1"/>
        <v>9.1</v>
      </c>
      <c r="J25" s="771">
        <f t="shared" si="1"/>
        <v>8.8000000000000007</v>
      </c>
      <c r="K25" s="771">
        <f t="shared" si="1"/>
        <v>8.4333333333333336</v>
      </c>
      <c r="L25" s="771">
        <f t="shared" si="1"/>
        <v>7.2</v>
      </c>
      <c r="M25" s="771">
        <f t="shared" si="1"/>
        <v>5.833333333333333</v>
      </c>
      <c r="N25" s="771">
        <f t="shared" si="1"/>
        <v>4.3333333333333339</v>
      </c>
      <c r="O25" s="771">
        <f t="shared" si="1"/>
        <v>4</v>
      </c>
      <c r="P25" s="771">
        <f t="shared" si="1"/>
        <v>4</v>
      </c>
      <c r="Q25" s="771">
        <f t="shared" si="1"/>
        <v>4</v>
      </c>
      <c r="R25" s="771">
        <f t="shared" si="1"/>
        <v>4</v>
      </c>
      <c r="S25" s="774"/>
    </row>
    <row r="26" spans="2:23" x14ac:dyDescent="0.25">
      <c r="B26" s="768">
        <v>10000</v>
      </c>
      <c r="C26" s="771">
        <f t="shared" si="1"/>
        <v>6</v>
      </c>
      <c r="D26" s="771">
        <f t="shared" si="1"/>
        <v>6.4</v>
      </c>
      <c r="E26" s="771">
        <f t="shared" si="1"/>
        <v>6.8</v>
      </c>
      <c r="F26" s="771">
        <f t="shared" si="1"/>
        <v>7.1999999999999993</v>
      </c>
      <c r="G26" s="771">
        <f t="shared" si="1"/>
        <v>7.6</v>
      </c>
      <c r="H26" s="771">
        <f t="shared" si="1"/>
        <v>7.333333333333333</v>
      </c>
      <c r="I26" s="771">
        <f t="shared" si="1"/>
        <v>7.6999999999999993</v>
      </c>
      <c r="J26" s="771">
        <f t="shared" si="1"/>
        <v>8.0666666666666664</v>
      </c>
      <c r="K26" s="771">
        <f t="shared" si="1"/>
        <v>8.4333333333333336</v>
      </c>
      <c r="L26" s="771">
        <f t="shared" si="1"/>
        <v>8</v>
      </c>
      <c r="M26" s="771">
        <f t="shared" si="1"/>
        <v>7.4999999999999991</v>
      </c>
      <c r="N26" s="771">
        <f t="shared" si="1"/>
        <v>6.9333333333333336</v>
      </c>
      <c r="O26" s="771">
        <f t="shared" si="1"/>
        <v>5.4</v>
      </c>
      <c r="P26" s="771">
        <f t="shared" si="1"/>
        <v>4</v>
      </c>
      <c r="Q26" s="771">
        <f t="shared" si="1"/>
        <v>4</v>
      </c>
      <c r="R26" s="771">
        <f t="shared" si="1"/>
        <v>4</v>
      </c>
      <c r="S26" s="774"/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10</v>
      </c>
      <c r="D12" s="771">
        <v>8.5</v>
      </c>
      <c r="E12" s="771">
        <v>7</v>
      </c>
      <c r="F12" s="771">
        <v>5</v>
      </c>
      <c r="G12" s="771">
        <v>3</v>
      </c>
      <c r="H12" s="771">
        <v>1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10</v>
      </c>
      <c r="D13" s="771">
        <v>10</v>
      </c>
      <c r="E13" s="771">
        <v>9.5</v>
      </c>
      <c r="F13" s="771">
        <v>8.5</v>
      </c>
      <c r="G13" s="771">
        <v>7.5</v>
      </c>
      <c r="H13" s="771">
        <v>5.5</v>
      </c>
      <c r="I13" s="771">
        <v>3.5</v>
      </c>
      <c r="J13" s="771">
        <v>2</v>
      </c>
      <c r="K13" s="771">
        <v>1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8.5</v>
      </c>
      <c r="D14" s="771">
        <v>8.5</v>
      </c>
      <c r="E14" s="771">
        <v>8.5</v>
      </c>
      <c r="F14" s="771">
        <v>8.5</v>
      </c>
      <c r="G14" s="771">
        <v>8</v>
      </c>
      <c r="H14" s="771">
        <v>7.5</v>
      </c>
      <c r="I14" s="771">
        <v>6.5</v>
      </c>
      <c r="J14" s="771">
        <v>5</v>
      </c>
      <c r="K14" s="771">
        <v>3.5</v>
      </c>
      <c r="L14" s="771">
        <v>2.5</v>
      </c>
      <c r="M14" s="771">
        <v>1.5</v>
      </c>
      <c r="N14" s="771">
        <v>0.5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7.5</v>
      </c>
      <c r="D15" s="771">
        <v>7.5</v>
      </c>
      <c r="E15" s="771">
        <v>7.5</v>
      </c>
      <c r="F15" s="771">
        <v>7</v>
      </c>
      <c r="G15" s="771">
        <v>7</v>
      </c>
      <c r="H15" s="771">
        <v>6.5</v>
      </c>
      <c r="I15" s="771">
        <v>6.5</v>
      </c>
      <c r="J15" s="771">
        <v>6</v>
      </c>
      <c r="K15" s="771">
        <v>5.5</v>
      </c>
      <c r="L15" s="771">
        <v>4.5</v>
      </c>
      <c r="M15" s="771">
        <v>3.5</v>
      </c>
      <c r="N15" s="771">
        <v>2.5</v>
      </c>
      <c r="O15" s="771">
        <v>1.5</v>
      </c>
      <c r="P15" s="771">
        <v>0.5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6</v>
      </c>
      <c r="D16" s="771">
        <v>6</v>
      </c>
      <c r="E16" s="771">
        <v>6</v>
      </c>
      <c r="F16" s="771">
        <v>6</v>
      </c>
      <c r="G16" s="771">
        <v>6</v>
      </c>
      <c r="H16" s="771">
        <v>5.5</v>
      </c>
      <c r="I16" s="771">
        <v>5.5</v>
      </c>
      <c r="J16" s="771">
        <v>5.5</v>
      </c>
      <c r="K16" s="771">
        <v>5.5</v>
      </c>
      <c r="L16" s="771">
        <v>5</v>
      </c>
      <c r="M16" s="771">
        <v>4.5</v>
      </c>
      <c r="N16" s="771">
        <v>4</v>
      </c>
      <c r="O16" s="771">
        <v>3</v>
      </c>
      <c r="P16" s="771">
        <v>2</v>
      </c>
      <c r="Q16" s="771">
        <v>1.5</v>
      </c>
      <c r="R16" s="771">
        <v>1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10</v>
      </c>
      <c r="D21" s="771">
        <f t="shared" si="1"/>
        <v>8.5</v>
      </c>
      <c r="E21" s="771">
        <f t="shared" si="1"/>
        <v>7</v>
      </c>
      <c r="F21" s="771">
        <f t="shared" si="1"/>
        <v>5</v>
      </c>
      <c r="G21" s="771">
        <f t="shared" si="1"/>
        <v>3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10</v>
      </c>
      <c r="D22" s="771">
        <f t="shared" si="1"/>
        <v>10</v>
      </c>
      <c r="E22" s="771">
        <f t="shared" si="1"/>
        <v>9.5</v>
      </c>
      <c r="F22" s="771">
        <f t="shared" si="1"/>
        <v>8.5</v>
      </c>
      <c r="G22" s="771">
        <f t="shared" si="1"/>
        <v>7.5</v>
      </c>
      <c r="H22" s="771">
        <f t="shared" si="1"/>
        <v>5.5</v>
      </c>
      <c r="I22" s="771">
        <f t="shared" si="1"/>
        <v>3.5</v>
      </c>
      <c r="J22" s="771">
        <f t="shared" si="1"/>
        <v>2</v>
      </c>
      <c r="K22" s="771">
        <f t="shared" si="1"/>
        <v>2</v>
      </c>
      <c r="L22" s="78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8.5</v>
      </c>
      <c r="D23" s="771">
        <f t="shared" si="1"/>
        <v>8.5</v>
      </c>
      <c r="E23" s="771">
        <f t="shared" si="1"/>
        <v>8.5</v>
      </c>
      <c r="F23" s="771">
        <f t="shared" si="1"/>
        <v>8.5</v>
      </c>
      <c r="G23" s="771">
        <f t="shared" si="1"/>
        <v>8</v>
      </c>
      <c r="H23" s="771">
        <f t="shared" si="1"/>
        <v>7.5</v>
      </c>
      <c r="I23" s="771">
        <f t="shared" si="1"/>
        <v>6.5</v>
      </c>
      <c r="J23" s="771">
        <f t="shared" si="1"/>
        <v>5</v>
      </c>
      <c r="K23" s="771">
        <f t="shared" si="1"/>
        <v>3.5</v>
      </c>
      <c r="L23" s="781">
        <f t="shared" si="1"/>
        <v>2.5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7.5</v>
      </c>
      <c r="D24" s="771">
        <f t="shared" si="1"/>
        <v>7.5</v>
      </c>
      <c r="E24" s="771">
        <f t="shared" si="1"/>
        <v>7.5</v>
      </c>
      <c r="F24" s="771">
        <f t="shared" si="1"/>
        <v>7</v>
      </c>
      <c r="G24" s="771">
        <f t="shared" si="1"/>
        <v>7</v>
      </c>
      <c r="H24" s="771">
        <f t="shared" si="1"/>
        <v>6.5</v>
      </c>
      <c r="I24" s="771">
        <f t="shared" si="1"/>
        <v>6.5</v>
      </c>
      <c r="J24" s="771">
        <f t="shared" si="1"/>
        <v>6</v>
      </c>
      <c r="K24" s="771">
        <f t="shared" si="1"/>
        <v>5.5</v>
      </c>
      <c r="L24" s="771">
        <f t="shared" si="1"/>
        <v>4.5</v>
      </c>
      <c r="M24" s="771">
        <f t="shared" si="1"/>
        <v>3.5</v>
      </c>
      <c r="N24" s="771">
        <f t="shared" si="1"/>
        <v>2.5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6</v>
      </c>
      <c r="D25" s="771">
        <f t="shared" si="1"/>
        <v>6</v>
      </c>
      <c r="E25" s="771">
        <f t="shared" si="1"/>
        <v>6</v>
      </c>
      <c r="F25" s="771">
        <f t="shared" si="1"/>
        <v>6</v>
      </c>
      <c r="G25" s="771">
        <f t="shared" si="1"/>
        <v>6</v>
      </c>
      <c r="H25" s="771">
        <f t="shared" si="1"/>
        <v>5.5</v>
      </c>
      <c r="I25" s="771">
        <f t="shared" si="1"/>
        <v>5.5</v>
      </c>
      <c r="J25" s="771">
        <f t="shared" si="1"/>
        <v>5.5</v>
      </c>
      <c r="K25" s="771">
        <f t="shared" si="1"/>
        <v>5.5</v>
      </c>
      <c r="L25" s="771">
        <f t="shared" si="1"/>
        <v>5</v>
      </c>
      <c r="M25" s="771">
        <f t="shared" si="1"/>
        <v>4.5</v>
      </c>
      <c r="N25" s="771">
        <f t="shared" si="1"/>
        <v>4</v>
      </c>
      <c r="O25" s="771">
        <f t="shared" si="1"/>
        <v>3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7</v>
      </c>
      <c r="D12" s="771">
        <v>6</v>
      </c>
      <c r="E12" s="771">
        <v>3.5</v>
      </c>
      <c r="F12" s="771">
        <v>1.5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7</v>
      </c>
      <c r="D13" s="771">
        <v>6.5</v>
      </c>
      <c r="E13" s="771">
        <v>6.5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6.5</v>
      </c>
      <c r="D14" s="771">
        <v>6.5</v>
      </c>
      <c r="E14" s="771">
        <v>6.5</v>
      </c>
      <c r="F14" s="771">
        <v>6</v>
      </c>
      <c r="G14" s="771">
        <v>5</v>
      </c>
      <c r="H14" s="771">
        <v>4</v>
      </c>
      <c r="I14" s="771">
        <v>2.5</v>
      </c>
      <c r="J14" s="771">
        <v>1</v>
      </c>
      <c r="K14" s="771">
        <v>0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5.5</v>
      </c>
      <c r="D15" s="771">
        <v>5.5</v>
      </c>
      <c r="E15" s="771">
        <v>5.5</v>
      </c>
      <c r="F15" s="771">
        <v>5.5</v>
      </c>
      <c r="G15" s="771">
        <v>5.5</v>
      </c>
      <c r="H15" s="771">
        <v>5</v>
      </c>
      <c r="I15" s="771">
        <v>4.5</v>
      </c>
      <c r="J15" s="771">
        <v>3</v>
      </c>
      <c r="K15" s="771">
        <v>1.5</v>
      </c>
      <c r="L15" s="771">
        <v>0.5</v>
      </c>
      <c r="M15" s="771">
        <v>0</v>
      </c>
      <c r="N15" s="771">
        <v>0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4.5</v>
      </c>
      <c r="D16" s="771">
        <v>4.5</v>
      </c>
      <c r="E16" s="771">
        <v>4.5</v>
      </c>
      <c r="F16" s="771">
        <v>4.5</v>
      </c>
      <c r="G16" s="771">
        <v>4.5</v>
      </c>
      <c r="H16" s="771">
        <v>4</v>
      </c>
      <c r="I16" s="771">
        <v>4</v>
      </c>
      <c r="J16" s="771">
        <v>3.5</v>
      </c>
      <c r="K16" s="771">
        <v>2.5</v>
      </c>
      <c r="L16" s="771">
        <v>1.5</v>
      </c>
      <c r="M16" s="771">
        <v>0.5</v>
      </c>
      <c r="N16" s="771">
        <v>0</v>
      </c>
      <c r="O16" s="771">
        <v>0</v>
      </c>
      <c r="P16" s="771">
        <v>0</v>
      </c>
      <c r="Q16" s="771">
        <v>0</v>
      </c>
      <c r="R16" s="771">
        <v>0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7</v>
      </c>
      <c r="D21" s="771">
        <f t="shared" si="1"/>
        <v>6</v>
      </c>
      <c r="E21" s="771">
        <f t="shared" si="1"/>
        <v>3.5</v>
      </c>
      <c r="F21" s="771">
        <f t="shared" si="1"/>
        <v>2</v>
      </c>
      <c r="G21" s="771">
        <f t="shared" si="1"/>
        <v>2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7</v>
      </c>
      <c r="D22" s="771">
        <f t="shared" si="1"/>
        <v>6.5</v>
      </c>
      <c r="E22" s="771">
        <f t="shared" si="1"/>
        <v>6.5</v>
      </c>
      <c r="F22" s="771">
        <f t="shared" si="1"/>
        <v>5</v>
      </c>
      <c r="G22" s="771">
        <f t="shared" si="1"/>
        <v>3</v>
      </c>
      <c r="H22" s="771">
        <f t="shared" si="1"/>
        <v>2</v>
      </c>
      <c r="I22" s="771">
        <f t="shared" si="1"/>
        <v>2</v>
      </c>
      <c r="J22" s="771">
        <f t="shared" si="1"/>
        <v>2</v>
      </c>
      <c r="K22" s="771">
        <f t="shared" si="1"/>
        <v>2</v>
      </c>
      <c r="L22" s="77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6.5</v>
      </c>
      <c r="D23" s="771">
        <f t="shared" si="1"/>
        <v>6.5</v>
      </c>
      <c r="E23" s="771">
        <f t="shared" si="1"/>
        <v>6.5</v>
      </c>
      <c r="F23" s="771">
        <f t="shared" si="1"/>
        <v>6</v>
      </c>
      <c r="G23" s="771">
        <f t="shared" si="1"/>
        <v>5</v>
      </c>
      <c r="H23" s="771">
        <f t="shared" si="1"/>
        <v>4</v>
      </c>
      <c r="I23" s="771">
        <f t="shared" si="1"/>
        <v>2.5</v>
      </c>
      <c r="J23" s="771">
        <f t="shared" si="1"/>
        <v>2</v>
      </c>
      <c r="K23" s="771">
        <f t="shared" si="1"/>
        <v>2</v>
      </c>
      <c r="L23" s="771">
        <f t="shared" si="1"/>
        <v>2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5.5</v>
      </c>
      <c r="D24" s="771">
        <f t="shared" si="1"/>
        <v>5.5</v>
      </c>
      <c r="E24" s="771">
        <f t="shared" si="1"/>
        <v>5.5</v>
      </c>
      <c r="F24" s="771">
        <f t="shared" si="1"/>
        <v>5.5</v>
      </c>
      <c r="G24" s="771">
        <f t="shared" si="1"/>
        <v>5.5</v>
      </c>
      <c r="H24" s="771">
        <f t="shared" si="1"/>
        <v>5</v>
      </c>
      <c r="I24" s="771">
        <f t="shared" si="1"/>
        <v>4.5</v>
      </c>
      <c r="J24" s="771">
        <f t="shared" si="1"/>
        <v>3</v>
      </c>
      <c r="K24" s="771">
        <f t="shared" si="1"/>
        <v>2</v>
      </c>
      <c r="L24" s="771">
        <f t="shared" si="1"/>
        <v>2</v>
      </c>
      <c r="M24" s="771">
        <f t="shared" si="1"/>
        <v>2</v>
      </c>
      <c r="N24" s="771">
        <f t="shared" si="1"/>
        <v>2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4.5</v>
      </c>
      <c r="D25" s="771">
        <f t="shared" si="1"/>
        <v>4.5</v>
      </c>
      <c r="E25" s="771">
        <f t="shared" si="1"/>
        <v>4.5</v>
      </c>
      <c r="F25" s="771">
        <f t="shared" si="1"/>
        <v>4.5</v>
      </c>
      <c r="G25" s="771">
        <f t="shared" si="1"/>
        <v>4.5</v>
      </c>
      <c r="H25" s="771">
        <f t="shared" si="1"/>
        <v>4</v>
      </c>
      <c r="I25" s="771">
        <f t="shared" si="1"/>
        <v>4</v>
      </c>
      <c r="J25" s="771">
        <f t="shared" si="1"/>
        <v>3.5</v>
      </c>
      <c r="K25" s="771">
        <f t="shared" si="1"/>
        <v>2.5</v>
      </c>
      <c r="L25" s="771">
        <f t="shared" si="1"/>
        <v>2</v>
      </c>
      <c r="M25" s="771">
        <f t="shared" si="1"/>
        <v>2</v>
      </c>
      <c r="N25" s="771">
        <f t="shared" si="1"/>
        <v>2</v>
      </c>
      <c r="O25" s="771">
        <f t="shared" si="1"/>
        <v>2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27" t="s">
        <v>0</v>
      </c>
      <c r="B4" s="928"/>
      <c r="C4" s="928"/>
      <c r="D4" s="928"/>
      <c r="E4" s="928"/>
      <c r="F4" s="929"/>
    </row>
    <row r="5" spans="1:6" x14ac:dyDescent="0.2">
      <c r="A5" s="2" t="s">
        <v>1</v>
      </c>
      <c r="B5" s="930" t="s">
        <v>571</v>
      </c>
      <c r="C5" s="931"/>
      <c r="D5" s="3" t="s">
        <v>2</v>
      </c>
      <c r="E5" s="932">
        <v>1</v>
      </c>
      <c r="F5" s="933"/>
    </row>
    <row r="6" spans="1:6" x14ac:dyDescent="0.2">
      <c r="A6" s="4" t="s">
        <v>3</v>
      </c>
      <c r="B6" s="934">
        <v>44281</v>
      </c>
      <c r="C6" s="935"/>
      <c r="D6" s="5" t="s">
        <v>4</v>
      </c>
      <c r="E6" s="936">
        <v>1</v>
      </c>
      <c r="F6" s="937"/>
    </row>
    <row r="7" spans="1:6" x14ac:dyDescent="0.2">
      <c r="A7" s="6" t="s">
        <v>5</v>
      </c>
      <c r="B7" s="923" t="s">
        <v>572</v>
      </c>
      <c r="C7" s="924"/>
      <c r="D7" s="7" t="s">
        <v>6</v>
      </c>
      <c r="E7" s="925"/>
      <c r="F7" s="926"/>
    </row>
    <row r="9" spans="1:6" x14ac:dyDescent="0.2">
      <c r="A9" s="943" t="s">
        <v>7</v>
      </c>
      <c r="B9" s="686"/>
      <c r="C9" s="687"/>
      <c r="D9" s="8" t="s">
        <v>8</v>
      </c>
      <c r="E9" s="8" t="s">
        <v>9</v>
      </c>
      <c r="F9" s="9" t="s">
        <v>10</v>
      </c>
    </row>
    <row r="10" spans="1:6" x14ac:dyDescent="0.2">
      <c r="A10" s="944"/>
      <c r="B10" s="688"/>
      <c r="C10" s="689"/>
      <c r="D10" s="671"/>
      <c r="E10" s="10"/>
      <c r="F10" s="11"/>
    </row>
    <row r="12" spans="1:6" ht="12.75" customHeight="1" x14ac:dyDescent="0.2">
      <c r="A12" s="945" t="s">
        <v>520</v>
      </c>
      <c r="B12" s="721" t="s">
        <v>530</v>
      </c>
      <c r="C12" s="722" t="s">
        <v>530</v>
      </c>
      <c r="D12" s="946" t="s">
        <v>11</v>
      </c>
      <c r="E12" s="669"/>
      <c r="F12" s="667"/>
    </row>
    <row r="13" spans="1:6" x14ac:dyDescent="0.2">
      <c r="A13" s="944"/>
      <c r="B13" s="723" t="s">
        <v>531</v>
      </c>
      <c r="C13" s="724" t="s">
        <v>531</v>
      </c>
      <c r="D13" s="947"/>
      <c r="E13" s="670"/>
      <c r="F13" s="668"/>
    </row>
    <row r="15" spans="1:6" x14ac:dyDescent="0.2">
      <c r="A15" s="948" t="s">
        <v>48</v>
      </c>
      <c r="B15" s="55">
        <v>-2.7</v>
      </c>
      <c r="C15" s="55">
        <v>-2.7</v>
      </c>
      <c r="D15" s="950" t="s">
        <v>508</v>
      </c>
      <c r="E15" s="58">
        <v>1.5</v>
      </c>
      <c r="F15" s="59">
        <v>1.5</v>
      </c>
    </row>
    <row r="16" spans="1:6" x14ac:dyDescent="0.2">
      <c r="A16" s="949"/>
      <c r="B16" s="57">
        <v>-2.4</v>
      </c>
      <c r="C16" s="57">
        <v>-2.4</v>
      </c>
      <c r="D16" s="951"/>
      <c r="E16" s="708">
        <v>-1.7</v>
      </c>
      <c r="F16" s="709">
        <v>-1.7</v>
      </c>
    </row>
    <row r="17" spans="1:13" x14ac:dyDescent="0.2">
      <c r="A17" s="12" t="s">
        <v>12</v>
      </c>
      <c r="B17" s="728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62" t="s">
        <v>574</v>
      </c>
      <c r="F18" s="763" t="s">
        <v>575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562</v>
      </c>
      <c r="E21" s="23"/>
      <c r="F21" s="354" t="s">
        <v>563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952" t="s">
        <v>532</v>
      </c>
      <c r="I22" s="952"/>
      <c r="J22" s="952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61" t="s">
        <v>524</v>
      </c>
      <c r="C25" s="61" t="s">
        <v>539</v>
      </c>
      <c r="D25" s="30" t="s">
        <v>13</v>
      </c>
      <c r="E25" s="696" t="s">
        <v>507</v>
      </c>
      <c r="F25" s="697">
        <v>3</v>
      </c>
      <c r="H25" s="735">
        <v>49.8</v>
      </c>
      <c r="I25" s="736">
        <v>49.4</v>
      </c>
      <c r="J25" s="744">
        <v>40.799999999999997</v>
      </c>
    </row>
    <row r="26" spans="1:13" ht="13.5" thickBot="1" x14ac:dyDescent="0.25">
      <c r="A26" s="32" t="s">
        <v>17</v>
      </c>
      <c r="B26" s="54" t="s">
        <v>550</v>
      </c>
      <c r="C26" s="54" t="s">
        <v>539</v>
      </c>
      <c r="D26" s="25" t="s">
        <v>17</v>
      </c>
      <c r="E26" s="698" t="s">
        <v>549</v>
      </c>
      <c r="F26" s="699" t="s">
        <v>549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33">
        <v>41.1</v>
      </c>
      <c r="I27" s="734">
        <v>44.8</v>
      </c>
      <c r="J27" s="751">
        <v>27.9</v>
      </c>
    </row>
    <row r="28" spans="1:13" x14ac:dyDescent="0.2">
      <c r="A28" s="2" t="s">
        <v>23</v>
      </c>
      <c r="B28" s="706">
        <v>22.5</v>
      </c>
      <c r="C28" s="706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07">
        <v>7.8</v>
      </c>
      <c r="C29" s="707">
        <v>7.3</v>
      </c>
      <c r="D29" s="34"/>
      <c r="E29" s="34"/>
      <c r="F29" s="705" t="s">
        <v>515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29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690" t="s">
        <v>217</v>
      </c>
      <c r="C32" s="726">
        <f>('04_Springs'!$O$10 -'04_Springs'!$C$13+'SETUP-SHEET_After21T03'!D32)*193</f>
        <v>2948.268</v>
      </c>
      <c r="D32" s="725">
        <v>14.3</v>
      </c>
      <c r="E32" s="691" t="s">
        <v>540</v>
      </c>
      <c r="F32" s="730" t="s">
        <v>545</v>
      </c>
      <c r="G32" s="757" t="s">
        <v>13</v>
      </c>
      <c r="H32" s="735">
        <v>15.1</v>
      </c>
      <c r="I32" s="736">
        <v>2</v>
      </c>
      <c r="J32" s="736">
        <v>87.405000000000001</v>
      </c>
      <c r="K32" s="756"/>
      <c r="L32" s="736">
        <f>$J32-$H32-$I32-49.8</f>
        <v>20.50500000000001</v>
      </c>
      <c r="M32" s="737">
        <f>$J32-$H32-$I32-49.8</f>
        <v>20.50500000000001</v>
      </c>
    </row>
    <row r="33" spans="1:13" ht="13.5" thickBot="1" x14ac:dyDescent="0.25">
      <c r="A33" s="29" t="s">
        <v>27</v>
      </c>
      <c r="B33" s="690" t="s">
        <v>234</v>
      </c>
      <c r="C33" s="726">
        <f>('04_Springs'!$O$11-'04_Springs'!$C$27+'SETUP-SHEET_After21T03'!D33)*193</f>
        <v>2675.5589999999997</v>
      </c>
      <c r="D33" s="725">
        <v>19</v>
      </c>
      <c r="E33" s="690" t="s">
        <v>541</v>
      </c>
      <c r="F33" s="731" t="s">
        <v>546</v>
      </c>
      <c r="G33" s="758" t="s">
        <v>17</v>
      </c>
      <c r="H33" s="735">
        <v>15.1</v>
      </c>
      <c r="I33" s="736">
        <v>2</v>
      </c>
      <c r="J33" s="736">
        <v>96.4</v>
      </c>
      <c r="K33" s="756"/>
      <c r="L33" s="736">
        <f>$J$33-$H$33-$I$33-41.1</f>
        <v>38.20000000000001</v>
      </c>
      <c r="M33" s="737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695" t="s">
        <v>542</v>
      </c>
      <c r="F34" s="731" t="s">
        <v>544</v>
      </c>
      <c r="G34" s="759" t="s">
        <v>89</v>
      </c>
      <c r="H34" s="739"/>
      <c r="I34" s="740"/>
      <c r="J34" s="208">
        <v>172.52</v>
      </c>
      <c r="K34" s="208">
        <v>70.3</v>
      </c>
      <c r="L34" s="1021">
        <f>J34-K34-40.8</f>
        <v>61.420000000000016</v>
      </c>
      <c r="M34" s="1022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694" t="s">
        <v>543</v>
      </c>
      <c r="F35" s="738">
        <f>28.2+36.2</f>
        <v>64.400000000000006</v>
      </c>
      <c r="G35" s="760" t="s">
        <v>90</v>
      </c>
      <c r="H35" s="741"/>
      <c r="I35" s="742"/>
      <c r="J35" s="732">
        <v>232.88499999999999</v>
      </c>
      <c r="K35" s="732">
        <v>140</v>
      </c>
      <c r="L35" s="1023">
        <f>J35-K35-27.9</f>
        <v>64.984999999999985</v>
      </c>
      <c r="M35" s="1024"/>
    </row>
    <row r="36" spans="1:13" x14ac:dyDescent="0.2">
      <c r="C36" s="942" t="s">
        <v>570</v>
      </c>
      <c r="D36" s="942"/>
      <c r="E36" s="942"/>
      <c r="F36" s="942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00" t="s">
        <v>551</v>
      </c>
      <c r="D38" s="691" t="s">
        <v>552</v>
      </c>
      <c r="E38" s="691" t="s">
        <v>553</v>
      </c>
      <c r="F38" s="701" t="s">
        <v>554</v>
      </c>
    </row>
    <row r="39" spans="1:13" x14ac:dyDescent="0.2">
      <c r="A39" s="63" t="s">
        <v>482</v>
      </c>
      <c r="B39" s="636" t="s">
        <v>487</v>
      </c>
      <c r="C39" s="698" t="s">
        <v>555</v>
      </c>
      <c r="D39" s="698" t="s">
        <v>556</v>
      </c>
      <c r="E39" s="698" t="s">
        <v>557</v>
      </c>
      <c r="F39" s="699" t="s">
        <v>557</v>
      </c>
    </row>
    <row r="40" spans="1:13" x14ac:dyDescent="0.2">
      <c r="C40" s="942" t="s">
        <v>570</v>
      </c>
      <c r="D40" s="942"/>
      <c r="E40" s="942"/>
      <c r="F40" s="942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691" t="s">
        <v>558</v>
      </c>
      <c r="D42" s="639"/>
      <c r="E42" s="703" t="s">
        <v>559</v>
      </c>
      <c r="F42" s="48"/>
    </row>
    <row r="43" spans="1:13" x14ac:dyDescent="0.2">
      <c r="A43" s="63" t="s">
        <v>483</v>
      </c>
      <c r="B43" s="636" t="s">
        <v>17</v>
      </c>
      <c r="C43" s="702" t="s">
        <v>560</v>
      </c>
      <c r="D43" s="640"/>
      <c r="E43" s="704" t="s">
        <v>561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564</v>
      </c>
    </row>
    <row r="46" spans="1:13" x14ac:dyDescent="0.2">
      <c r="A46" s="727" t="s">
        <v>522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693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692" t="s">
        <v>523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B58" s="220"/>
      <c r="C58" s="220"/>
      <c r="D58" s="220"/>
      <c r="E58" s="220"/>
      <c r="F58" s="356" t="s">
        <v>511</v>
      </c>
    </row>
    <row r="59" spans="1:6" x14ac:dyDescent="0.2">
      <c r="A59" s="673"/>
      <c r="B59" s="220"/>
      <c r="C59" s="220"/>
      <c r="D59" s="220"/>
      <c r="E59" s="220"/>
      <c r="F59" s="355" t="s">
        <v>263</v>
      </c>
    </row>
    <row r="60" spans="1:6" x14ac:dyDescent="0.2">
      <c r="A60" s="672"/>
      <c r="B60" s="220"/>
      <c r="C60" s="220"/>
      <c r="D60" s="220"/>
      <c r="E60" s="220"/>
      <c r="F60" s="356" t="s">
        <v>511</v>
      </c>
    </row>
    <row r="61" spans="1:6" x14ac:dyDescent="0.2">
      <c r="A61" s="672"/>
      <c r="B61" s="220"/>
      <c r="C61" s="220"/>
      <c r="D61" s="220"/>
      <c r="E61" s="220"/>
      <c r="F61" s="355" t="s">
        <v>264</v>
      </c>
    </row>
    <row r="62" spans="1:6" x14ac:dyDescent="0.2">
      <c r="A62" s="672"/>
      <c r="B62" s="220"/>
      <c r="C62" s="220"/>
      <c r="D62" s="220"/>
      <c r="E62" s="220"/>
      <c r="F62" s="31" t="s">
        <v>513</v>
      </c>
    </row>
    <row r="63" spans="1:6" x14ac:dyDescent="0.2">
      <c r="A63" s="672"/>
      <c r="B63" s="220"/>
      <c r="C63" s="220"/>
      <c r="D63" s="220"/>
      <c r="E63" s="220"/>
      <c r="F63" s="674"/>
    </row>
    <row r="64" spans="1:6" x14ac:dyDescent="0.2">
      <c r="A64" s="672"/>
      <c r="B64" s="220"/>
      <c r="C64" s="220"/>
      <c r="D64" s="220"/>
      <c r="E64" s="220"/>
      <c r="F64" s="674"/>
    </row>
    <row r="65" spans="1:6" x14ac:dyDescent="0.2">
      <c r="A65" s="16"/>
      <c r="B65" s="18"/>
      <c r="C65" s="18"/>
      <c r="D65" s="18"/>
      <c r="E65" s="18"/>
      <c r="F65" s="675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11" t="s">
        <v>185</v>
      </c>
      <c r="C2" s="812" t="s">
        <v>34</v>
      </c>
      <c r="D2" s="460"/>
      <c r="E2" s="460"/>
      <c r="G2" s="999" t="s">
        <v>135</v>
      </c>
      <c r="H2" s="1000"/>
      <c r="I2" s="1000"/>
      <c r="J2" s="1000"/>
      <c r="K2" s="1000"/>
      <c r="L2" s="1000"/>
      <c r="M2" s="1000"/>
      <c r="N2" s="1000"/>
      <c r="O2" s="1000"/>
      <c r="P2" s="1000"/>
      <c r="Q2" s="1001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02" t="s">
        <v>177</v>
      </c>
      <c r="H4" s="1003"/>
      <c r="I4" s="1004"/>
      <c r="J4" s="381"/>
      <c r="K4" s="381"/>
      <c r="L4" s="381"/>
      <c r="M4" s="1002" t="s">
        <v>179</v>
      </c>
      <c r="N4" s="1003"/>
      <c r="O4" s="1003"/>
      <c r="P4" s="1003"/>
      <c r="Q4" s="1004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602</v>
      </c>
    </row>
    <row r="16" spans="2:19" ht="15.75" thickBot="1" x14ac:dyDescent="0.3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714" t="s">
        <v>156</v>
      </c>
      <c r="H17" s="715">
        <v>0</v>
      </c>
      <c r="I17" s="716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717" t="s">
        <v>158</v>
      </c>
      <c r="H18" s="718">
        <v>0</v>
      </c>
      <c r="I18" s="719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82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007" t="s">
        <v>178</v>
      </c>
      <c r="H22" s="1008"/>
      <c r="I22" s="1009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010">
        <f>N21/(N21+O21)</f>
        <v>0.52776146129452606</v>
      </c>
      <c r="O23" s="1010"/>
      <c r="P23" s="711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005">
        <v>3.6</v>
      </c>
      <c r="O24" s="1005"/>
      <c r="P24" s="711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006">
        <f>(N21+O21)/N24</f>
        <v>1136.2233298074136</v>
      </c>
      <c r="O25" s="1006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65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Setup_Log_709</vt:lpstr>
      <vt:lpstr>SETUP-SHEET for 21R03 #709</vt:lpstr>
      <vt:lpstr>01_Aerodynamics</vt:lpstr>
      <vt:lpstr>01_Aerodynamics2</vt:lpstr>
      <vt:lpstr>02_3rd elements</vt:lpstr>
      <vt:lpstr>03_Anti-Roll Bars_21R03FP1</vt:lpstr>
      <vt:lpstr>03_Anti-Roll Bars (POR) (2)</vt:lpstr>
      <vt:lpstr>03_Anti-Roll Bars (POR)</vt:lpstr>
      <vt:lpstr>03_Anti-Roll Bars (VAL)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cp:lastPrinted>2021-07-13T16:53:24Z</cp:lastPrinted>
  <dcterms:created xsi:type="dcterms:W3CDTF">2021-01-07T16:16:54Z</dcterms:created>
  <dcterms:modified xsi:type="dcterms:W3CDTF">2021-07-17T06:08:11Z</dcterms:modified>
</cp:coreProperties>
</file>