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ighteningTorque\"/>
    </mc:Choice>
  </mc:AlternateContent>
  <xr:revisionPtr revIDLastSave="0" documentId="13_ncr:1_{D2FD5527-C8FF-4AF5-B5C5-D5CEB80B77E4}" xr6:coauthVersionLast="45" xr6:coauthVersionMax="45" xr10:uidLastSave="{00000000-0000-0000-0000-000000000000}"/>
  <bookViews>
    <workbookView xWindow="-120" yWindow="-120" windowWidth="38640" windowHeight="15840" xr2:uid="{36121CCB-790F-45F9-8C2A-2381086334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3" i="1" l="1"/>
  <c r="D92" i="1"/>
  <c r="D77" i="1"/>
  <c r="D86" i="1" l="1"/>
  <c r="D87" i="1"/>
  <c r="D73" i="1"/>
  <c r="D58" i="1"/>
  <c r="K31" i="1"/>
  <c r="K30" i="1"/>
  <c r="D63" i="1" l="1"/>
  <c r="D46" i="1"/>
  <c r="D45" i="1"/>
  <c r="D61" i="1" s="1"/>
  <c r="P79" i="1" s="1"/>
  <c r="Q78" i="1" s="1"/>
  <c r="H20" i="1"/>
  <c r="P20" i="1" s="1"/>
  <c r="I20" i="1"/>
  <c r="Q20" i="1" s="1"/>
  <c r="J20" i="1"/>
  <c r="R20" i="1" s="1"/>
  <c r="K20" i="1"/>
  <c r="S20" i="1" s="1"/>
  <c r="L20" i="1"/>
  <c r="T20" i="1" s="1"/>
  <c r="M20" i="1"/>
  <c r="U20" i="1" s="1"/>
  <c r="N20" i="1"/>
  <c r="V20" i="1" s="1"/>
  <c r="O20" i="1"/>
  <c r="W20" i="1" s="1"/>
  <c r="H21" i="1"/>
  <c r="P21" i="1" s="1"/>
  <c r="I21" i="1"/>
  <c r="Q21" i="1" s="1"/>
  <c r="J21" i="1"/>
  <c r="R21" i="1" s="1"/>
  <c r="K21" i="1"/>
  <c r="S21" i="1" s="1"/>
  <c r="L21" i="1"/>
  <c r="T21" i="1" s="1"/>
  <c r="M21" i="1"/>
  <c r="U21" i="1" s="1"/>
  <c r="N21" i="1"/>
  <c r="V21" i="1" s="1"/>
  <c r="O21" i="1"/>
  <c r="W21" i="1" s="1"/>
  <c r="H22" i="1"/>
  <c r="P22" i="1" s="1"/>
  <c r="I22" i="1"/>
  <c r="Q22" i="1" s="1"/>
  <c r="J22" i="1"/>
  <c r="R22" i="1" s="1"/>
  <c r="K22" i="1"/>
  <c r="S22" i="1" s="1"/>
  <c r="L22" i="1"/>
  <c r="T22" i="1" s="1"/>
  <c r="M22" i="1"/>
  <c r="U22" i="1" s="1"/>
  <c r="N22" i="1"/>
  <c r="V22" i="1" s="1"/>
  <c r="O22" i="1"/>
  <c r="W22" i="1" s="1"/>
  <c r="H23" i="1"/>
  <c r="P23" i="1" s="1"/>
  <c r="I23" i="1"/>
  <c r="Q23" i="1" s="1"/>
  <c r="J23" i="1"/>
  <c r="R23" i="1" s="1"/>
  <c r="K23" i="1"/>
  <c r="S23" i="1" s="1"/>
  <c r="L23" i="1"/>
  <c r="T23" i="1" s="1"/>
  <c r="M23" i="1"/>
  <c r="U23" i="1" s="1"/>
  <c r="N23" i="1"/>
  <c r="V23" i="1" s="1"/>
  <c r="O23" i="1"/>
  <c r="W23" i="1" s="1"/>
  <c r="H24" i="1"/>
  <c r="P24" i="1" s="1"/>
  <c r="I24" i="1"/>
  <c r="Q24" i="1" s="1"/>
  <c r="J24" i="1"/>
  <c r="R24" i="1" s="1"/>
  <c r="K24" i="1"/>
  <c r="S24" i="1" s="1"/>
  <c r="L24" i="1"/>
  <c r="T24" i="1" s="1"/>
  <c r="M24" i="1"/>
  <c r="U24" i="1" s="1"/>
  <c r="N24" i="1"/>
  <c r="V24" i="1" s="1"/>
  <c r="O24" i="1"/>
  <c r="W24" i="1" s="1"/>
  <c r="H25" i="1"/>
  <c r="P25" i="1" s="1"/>
  <c r="I25" i="1"/>
  <c r="Q25" i="1" s="1"/>
  <c r="J25" i="1"/>
  <c r="R25" i="1" s="1"/>
  <c r="K25" i="1"/>
  <c r="S25" i="1" s="1"/>
  <c r="L25" i="1"/>
  <c r="T25" i="1" s="1"/>
  <c r="M25" i="1"/>
  <c r="U25" i="1" s="1"/>
  <c r="N25" i="1"/>
  <c r="V25" i="1" s="1"/>
  <c r="O25" i="1"/>
  <c r="W25" i="1" s="1"/>
  <c r="H26" i="1"/>
  <c r="P26" i="1" s="1"/>
  <c r="I26" i="1"/>
  <c r="Q26" i="1" s="1"/>
  <c r="J26" i="1"/>
  <c r="R26" i="1" s="1"/>
  <c r="K26" i="1"/>
  <c r="S26" i="1" s="1"/>
  <c r="L26" i="1"/>
  <c r="T26" i="1" s="1"/>
  <c r="M26" i="1"/>
  <c r="U26" i="1" s="1"/>
  <c r="N26" i="1"/>
  <c r="V26" i="1" s="1"/>
  <c r="O26" i="1"/>
  <c r="W26" i="1" s="1"/>
  <c r="H27" i="1"/>
  <c r="P27" i="1" s="1"/>
  <c r="I27" i="1"/>
  <c r="Q27" i="1" s="1"/>
  <c r="J27" i="1"/>
  <c r="R27" i="1" s="1"/>
  <c r="K27" i="1"/>
  <c r="S27" i="1" s="1"/>
  <c r="L27" i="1"/>
  <c r="T27" i="1" s="1"/>
  <c r="M27" i="1"/>
  <c r="U27" i="1" s="1"/>
  <c r="N27" i="1"/>
  <c r="V27" i="1" s="1"/>
  <c r="O27" i="1"/>
  <c r="W27" i="1" s="1"/>
  <c r="H28" i="1"/>
  <c r="P28" i="1" s="1"/>
  <c r="I28" i="1"/>
  <c r="Q28" i="1" s="1"/>
  <c r="J28" i="1"/>
  <c r="R28" i="1" s="1"/>
  <c r="K28" i="1"/>
  <c r="S28" i="1" s="1"/>
  <c r="L28" i="1"/>
  <c r="T28" i="1" s="1"/>
  <c r="M28" i="1"/>
  <c r="U28" i="1" s="1"/>
  <c r="N28" i="1"/>
  <c r="V28" i="1" s="1"/>
  <c r="O28" i="1"/>
  <c r="W28" i="1" s="1"/>
  <c r="I19" i="1"/>
  <c r="Q19" i="1" s="1"/>
  <c r="J19" i="1"/>
  <c r="R19" i="1" s="1"/>
  <c r="K19" i="1"/>
  <c r="S19" i="1" s="1"/>
  <c r="L19" i="1"/>
  <c r="T19" i="1" s="1"/>
  <c r="M19" i="1"/>
  <c r="U19" i="1" s="1"/>
  <c r="N19" i="1"/>
  <c r="V19" i="1" s="1"/>
  <c r="O19" i="1"/>
  <c r="W19" i="1" s="1"/>
  <c r="H19" i="1"/>
  <c r="P19" i="1" s="1"/>
  <c r="R30" i="1" l="1"/>
  <c r="D78" i="1"/>
  <c r="D74" i="1"/>
  <c r="P78" i="1"/>
  <c r="N78" i="1"/>
  <c r="N79" i="1"/>
  <c r="D48" i="1"/>
  <c r="D97" i="1" l="1"/>
  <c r="D96" i="1"/>
  <c r="D50" i="1"/>
  <c r="D70" i="1"/>
  <c r="D80" i="1" s="1"/>
  <c r="D98" i="1" l="1"/>
  <c r="D99" i="1" s="1"/>
  <c r="D102" i="1" s="1"/>
  <c r="D51" i="1"/>
</calcChain>
</file>

<file path=xl/sharedStrings.xml><?xml version="1.0" encoding="utf-8"?>
<sst xmlns="http://schemas.openxmlformats.org/spreadsheetml/2006/main" count="192" uniqueCount="107">
  <si>
    <t>Engine Front Face - Stud Loads</t>
  </si>
  <si>
    <t>Project</t>
  </si>
  <si>
    <t>P074 - LMH</t>
  </si>
  <si>
    <t>Addressee</t>
  </si>
  <si>
    <t>PIPO Moteurs</t>
  </si>
  <si>
    <t>Revision</t>
  </si>
  <si>
    <t>Face centroid</t>
  </si>
  <si>
    <t>Bolt Axial Loads (Fx)</t>
  </si>
  <si>
    <t>Bolt Y Shear Loads (Fy)</t>
  </si>
  <si>
    <t>Bolt Z Shear Loads (Fz)</t>
  </si>
  <si>
    <t>#</t>
  </si>
  <si>
    <t>Case</t>
  </si>
  <si>
    <t>ax</t>
  </si>
  <si>
    <t>ay</t>
  </si>
  <si>
    <t>az</t>
  </si>
  <si>
    <t>Speed</t>
  </si>
  <si>
    <t>L1</t>
  </si>
  <si>
    <t>L2</t>
  </si>
  <si>
    <t>L3</t>
  </si>
  <si>
    <t>L4</t>
  </si>
  <si>
    <t>R1</t>
  </si>
  <si>
    <t>R2</t>
  </si>
  <si>
    <t>R3</t>
  </si>
  <si>
    <t>R4</t>
  </si>
  <si>
    <t>Brake</t>
  </si>
  <si>
    <t>Bump</t>
  </si>
  <si>
    <t>Brake + Bump</t>
  </si>
  <si>
    <t>Lateral</t>
  </si>
  <si>
    <t>Lateral + Bump</t>
  </si>
  <si>
    <t>Lateral + Brake</t>
  </si>
  <si>
    <t>Reverse Brake + Bump</t>
  </si>
  <si>
    <t>Acceleration</t>
  </si>
  <si>
    <t>Acceleration + Bump</t>
  </si>
  <si>
    <t>Single wheel bump RL (manual)</t>
  </si>
  <si>
    <t>Resultant Shear Loads (Fz)</t>
  </si>
  <si>
    <t>Input data</t>
  </si>
  <si>
    <t>Steel-steel friction coefficient</t>
  </si>
  <si>
    <t>SF</t>
  </si>
  <si>
    <t>Required tightening axial load (Fa)</t>
  </si>
  <si>
    <t>Tightening interface</t>
  </si>
  <si>
    <t>Thread data</t>
  </si>
  <si>
    <t>Nut data</t>
  </si>
  <si>
    <t>Outer contact diameter</t>
  </si>
  <si>
    <t>Inner contact diameter</t>
  </si>
  <si>
    <t>mm</t>
  </si>
  <si>
    <t>Pitch diameter</t>
  </si>
  <si>
    <t>Nut friction diameter</t>
  </si>
  <si>
    <t>Helix angle</t>
  </si>
  <si>
    <t>°</t>
  </si>
  <si>
    <t>Nut friction coefficient</t>
  </si>
  <si>
    <t>-</t>
  </si>
  <si>
    <t>Tightening torque</t>
  </si>
  <si>
    <t>Required axial load</t>
  </si>
  <si>
    <t>N</t>
  </si>
  <si>
    <t>Nmm</t>
  </si>
  <si>
    <t>Nm</t>
  </si>
  <si>
    <t>Thread friction coefficient</t>
  </si>
  <si>
    <t>Tightening torque uncertainty</t>
  </si>
  <si>
    <t>%</t>
  </si>
  <si>
    <t>Axial load from uncertainty reduction</t>
  </si>
  <si>
    <t>Pitch</t>
  </si>
  <si>
    <t>MPa</t>
  </si>
  <si>
    <t>Yield strength</t>
  </si>
  <si>
    <t>Root diameter</t>
  </si>
  <si>
    <t>Root area</t>
  </si>
  <si>
    <t>mm^2</t>
  </si>
  <si>
    <t>Yield SF</t>
  </si>
  <si>
    <t>Screw compliance</t>
  </si>
  <si>
    <t>Clamped member compliance</t>
  </si>
  <si>
    <t>Clamped member area</t>
  </si>
  <si>
    <t>Clamped member length</t>
  </si>
  <si>
    <t>Clamped member Young modulus</t>
  </si>
  <si>
    <t>Screw</t>
  </si>
  <si>
    <t>Clamp</t>
  </si>
  <si>
    <t>Washer external diameter</t>
  </si>
  <si>
    <t>Hole diameter</t>
  </si>
  <si>
    <t>delta C screw</t>
  </si>
  <si>
    <t>delta C clamped members</t>
  </si>
  <si>
    <t>Screw and clamped members compliance</t>
  </si>
  <si>
    <t>Reduction of clamping interference</t>
  </si>
  <si>
    <t>Reduction of clamping force</t>
  </si>
  <si>
    <t>Uncertainty from tightening</t>
  </si>
  <si>
    <t>Reduction of axial force from clamping</t>
  </si>
  <si>
    <t>External load distribution</t>
  </si>
  <si>
    <t>Unscrew verification</t>
  </si>
  <si>
    <t>Resultant clamping force</t>
  </si>
  <si>
    <t>i</t>
  </si>
  <si>
    <t>Force</t>
  </si>
  <si>
    <t>[mm]</t>
  </si>
  <si>
    <t>[N]</t>
  </si>
  <si>
    <t>Working diagram</t>
  </si>
  <si>
    <t>MAX SHEAR LOAD</t>
  </si>
  <si>
    <t>MAX AXIAL LOAD</t>
  </si>
  <si>
    <t>MIN AXIAL LOAD</t>
  </si>
  <si>
    <t>Minimum area</t>
  </si>
  <si>
    <t>Minimum diameter</t>
  </si>
  <si>
    <t>Torsional stress - threaded section</t>
  </si>
  <si>
    <t>Normal stress - not threaded section</t>
  </si>
  <si>
    <t>Normal stress - threaded section</t>
  </si>
  <si>
    <t>Peak stud axial load</t>
  </si>
  <si>
    <t>Stud Young modulus</t>
  </si>
  <si>
    <t xml:space="preserve">Stud strenght </t>
  </si>
  <si>
    <t>Belingardi</t>
  </si>
  <si>
    <t>Stud tightening torque</t>
  </si>
  <si>
    <t>Loads</t>
  </si>
  <si>
    <t>Stress</t>
  </si>
  <si>
    <t>Equivalent stress - threaded section (Von Mises)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</si>
</sst>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0" fontId="0" fillId="0" borderId="0" xfId="0" applyFill="1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0" borderId="0" xfId="0" applyFont="1" applyBorder="1" applyAlignment="1">
      <alignment wrapText="1"/>
    </xf>
    <xf numFmtId="0" fontId="1" fillId="0" borderId="0" xfId="0" applyFont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quotePrefix="1" applyBorder="1"/>
    <xf numFmtId="1" fontId="0" fillId="0" borderId="22" xfId="0" applyNumberFormat="1" applyBorder="1"/>
    <xf numFmtId="1" fontId="1" fillId="2" borderId="27" xfId="0" applyNumberFormat="1" applyFont="1" applyFill="1" applyBorder="1" applyAlignment="1"/>
    <xf numFmtId="0" fontId="1" fillId="2" borderId="28" xfId="0" applyFont="1" applyFill="1" applyBorder="1" applyAlignment="1"/>
    <xf numFmtId="0" fontId="0" fillId="0" borderId="34" xfId="0" applyBorder="1"/>
    <xf numFmtId="0" fontId="0" fillId="0" borderId="16" xfId="0" quotePrefix="1" applyBorder="1"/>
    <xf numFmtId="2" fontId="0" fillId="0" borderId="0" xfId="0" applyNumberFormat="1" applyBorder="1"/>
    <xf numFmtId="0" fontId="0" fillId="0" borderId="32" xfId="0" applyBorder="1"/>
    <xf numFmtId="2" fontId="0" fillId="0" borderId="33" xfId="0" applyNumberFormat="1" applyBorder="1"/>
    <xf numFmtId="1" fontId="1" fillId="2" borderId="30" xfId="0" applyNumberFormat="1" applyFont="1" applyFill="1" applyBorder="1"/>
    <xf numFmtId="0" fontId="1" fillId="2" borderId="31" xfId="0" applyFont="1" applyFill="1" applyBorder="1"/>
    <xf numFmtId="1" fontId="1" fillId="2" borderId="33" xfId="0" applyNumberFormat="1" applyFont="1" applyFill="1" applyBorder="1"/>
    <xf numFmtId="0" fontId="1" fillId="2" borderId="34" xfId="0" applyFont="1" applyFill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4" xfId="0" applyFill="1" applyBorder="1"/>
    <xf numFmtId="0" fontId="0" fillId="3" borderId="10" xfId="0" applyFill="1" applyBorder="1"/>
    <xf numFmtId="0" fontId="0" fillId="3" borderId="25" xfId="0" applyFill="1" applyBorder="1"/>
    <xf numFmtId="0" fontId="0" fillId="3" borderId="19" xfId="0" applyFill="1" applyBorder="1"/>
    <xf numFmtId="1" fontId="0" fillId="3" borderId="7" xfId="0" applyNumberFormat="1" applyFill="1" applyBorder="1"/>
    <xf numFmtId="0" fontId="0" fillId="3" borderId="20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Sheet1!$M$78:$M$79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xVal>
          <c:yVal>
            <c:numRef>
              <c:f>Sheet1!$N$78:$N$79</c:f>
              <c:numCache>
                <c:formatCode>General</c:formatCode>
                <c:ptCount val="2"/>
                <c:pt idx="0">
                  <c:v>0</c:v>
                </c:pt>
                <c:pt idx="1">
                  <c:v>1663.080610994097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9-42E2-8EB0-07F078630E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Sheet1!$O$78:$O$79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xVal>
          <c:yVal>
            <c:numRef>
              <c:f>Sheet1!$Q$78:$Q$79</c:f>
              <c:numCache>
                <c:formatCode>General</c:formatCode>
                <c:ptCount val="2"/>
                <c:pt idx="0">
                  <c:v>10856.378966047761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9-42E2-8EB0-07F07863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70440"/>
        <c:axId val="450564864"/>
      </c:scatterChart>
      <c:valAx>
        <c:axId val="450570440"/>
        <c:scaling>
          <c:orientation val="minMax"/>
          <c:max val="1.2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64864"/>
        <c:crosses val="autoZero"/>
        <c:crossBetween val="midCat"/>
      </c:valAx>
      <c:valAx>
        <c:axId val="4505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7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151843</xdr:colOff>
      <xdr:row>15</xdr:row>
      <xdr:rowOff>178589</xdr:rowOff>
    </xdr:from>
    <xdr:to>
      <xdr:col>39</xdr:col>
      <xdr:colOff>123265</xdr:colOff>
      <xdr:row>43</xdr:row>
      <xdr:rowOff>23284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F65EEA-5FDC-4D8E-B5F5-4808BB536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6314" y="3036089"/>
          <a:ext cx="9653304" cy="5201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145677</xdr:colOff>
      <xdr:row>32</xdr:row>
      <xdr:rowOff>88041</xdr:rowOff>
    </xdr:from>
    <xdr:to>
      <xdr:col>20</xdr:col>
      <xdr:colOff>537884</xdr:colOff>
      <xdr:row>52</xdr:row>
      <xdr:rowOff>45910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F091C-18DF-4394-9202-9FABB51EB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7059" y="6184041"/>
          <a:ext cx="5233148" cy="3779075"/>
        </a:xfrm>
        <a:prstGeom prst="rect">
          <a:avLst/>
        </a:prstGeom>
      </xdr:spPr>
    </xdr:pic>
    <xdr:clientData/>
  </xdr:twoCellAnchor>
  <xdr:twoCellAnchor editAs="oneCell">
    <xdr:from>
      <xdr:col>11</xdr:col>
      <xdr:colOff>582707</xdr:colOff>
      <xdr:row>53</xdr:row>
      <xdr:rowOff>145676</xdr:rowOff>
    </xdr:from>
    <xdr:to>
      <xdr:col>26</xdr:col>
      <xdr:colOff>67847</xdr:colOff>
      <xdr:row>67</xdr:row>
      <xdr:rowOff>46741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15B7DC-1929-4D94-8D92-432C07CE5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68972" y="10287000"/>
          <a:ext cx="8561905" cy="2590476"/>
        </a:xfrm>
        <a:prstGeom prst="rect">
          <a:avLst/>
        </a:prstGeom>
      </xdr:spPr>
    </xdr:pic>
    <xdr:clientData/>
  </xdr:twoCellAnchor>
  <xdr:twoCellAnchor>
    <xdr:from>
      <xdr:col>17</xdr:col>
      <xdr:colOff>487456</xdr:colOff>
      <xdr:row>69</xdr:row>
      <xdr:rowOff>123265</xdr:rowOff>
    </xdr:from>
    <xdr:to>
      <xdr:col>25</xdr:col>
      <xdr:colOff>358588</xdr:colOff>
      <xdr:row>84</xdr:row>
      <xdr:rowOff>10085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99CAE9-18FF-456A-8091-32BAD73B2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3B8B-50F8-4556-920A-6A3F1E954B65}">
  <dimension ref="B2:AE102"/>
  <sheetViews>
    <sheetView tabSelected="1" topLeftCell="A24" zoomScale="85" zoomScaleNormal="85" workbookViewId="0">
      <selection activeCell="S100" sqref="S100"/>
    </sheetView>
  </sheetViews>
  <sheetFormatPr defaultRowHeight="15" x14ac:dyDescent="0.25"/>
  <cols>
    <col min="3" max="3" width="47.140625" bestFit="1" customWidth="1"/>
    <col min="4" max="4" width="12.28515625" bestFit="1" customWidth="1"/>
    <col min="16" max="16" width="9.140625" customWidth="1"/>
  </cols>
  <sheetData>
    <row r="2" spans="2:31" x14ac:dyDescent="0.25">
      <c r="B2" t="s">
        <v>0</v>
      </c>
      <c r="H2" t="s">
        <v>1</v>
      </c>
      <c r="I2" t="s">
        <v>2</v>
      </c>
      <c r="L2" t="s">
        <v>3</v>
      </c>
      <c r="N2" t="s">
        <v>4</v>
      </c>
      <c r="Q2" t="s">
        <v>5</v>
      </c>
      <c r="R2">
        <v>1</v>
      </c>
    </row>
    <row r="3" spans="2:31" x14ac:dyDescent="0.25">
      <c r="B3" t="s">
        <v>6</v>
      </c>
      <c r="D3">
        <v>2000</v>
      </c>
      <c r="E3">
        <v>0</v>
      </c>
      <c r="F3">
        <v>247</v>
      </c>
    </row>
    <row r="4" spans="2:31" x14ac:dyDescent="0.25">
      <c r="H4" s="1" t="s">
        <v>7</v>
      </c>
      <c r="I4" s="2"/>
      <c r="J4" s="2"/>
      <c r="K4" s="2"/>
      <c r="L4" s="2"/>
      <c r="M4" s="2"/>
      <c r="N4" s="2"/>
      <c r="O4" s="3"/>
      <c r="P4" s="1" t="s">
        <v>8</v>
      </c>
      <c r="Q4" s="2"/>
      <c r="R4" s="2"/>
      <c r="S4" s="2"/>
      <c r="T4" s="2"/>
      <c r="U4" s="2"/>
      <c r="V4" s="2"/>
      <c r="W4" s="3"/>
      <c r="X4" s="1" t="s">
        <v>9</v>
      </c>
      <c r="Y4" s="2"/>
      <c r="Z4" s="2"/>
      <c r="AA4" s="2"/>
      <c r="AB4" s="2"/>
      <c r="AC4" s="2"/>
      <c r="AD4" s="2"/>
      <c r="AE4" s="3"/>
    </row>
    <row r="5" spans="2:31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s="4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6" t="s">
        <v>23</v>
      </c>
      <c r="P5" s="4" t="s">
        <v>16</v>
      </c>
      <c r="Q5" s="5" t="s">
        <v>17</v>
      </c>
      <c r="R5" s="5" t="s">
        <v>18</v>
      </c>
      <c r="S5" s="5" t="s">
        <v>19</v>
      </c>
      <c r="T5" s="5" t="s">
        <v>20</v>
      </c>
      <c r="U5" s="5" t="s">
        <v>21</v>
      </c>
      <c r="V5" s="5" t="s">
        <v>22</v>
      </c>
      <c r="W5" s="6" t="s">
        <v>23</v>
      </c>
      <c r="X5" s="4" t="s">
        <v>16</v>
      </c>
      <c r="Y5" s="5" t="s">
        <v>17</v>
      </c>
      <c r="Z5" s="5" t="s">
        <v>18</v>
      </c>
      <c r="AA5" s="5" t="s">
        <v>19</v>
      </c>
      <c r="AB5" s="5" t="s">
        <v>20</v>
      </c>
      <c r="AC5" s="5" t="s">
        <v>21</v>
      </c>
      <c r="AD5" s="5" t="s">
        <v>22</v>
      </c>
      <c r="AE5" s="6" t="s">
        <v>23</v>
      </c>
    </row>
    <row r="6" spans="2:31" x14ac:dyDescent="0.25">
      <c r="B6" s="1">
        <v>1</v>
      </c>
      <c r="C6" s="2" t="s">
        <v>24</v>
      </c>
      <c r="D6" s="2">
        <v>3.6</v>
      </c>
      <c r="E6" s="2">
        <v>0</v>
      </c>
      <c r="F6" s="2">
        <v>1</v>
      </c>
      <c r="G6" s="2">
        <v>320</v>
      </c>
      <c r="H6" s="10">
        <v>-6686.8118252733611</v>
      </c>
      <c r="I6" s="11">
        <v>-3147.3219521648643</v>
      </c>
      <c r="J6" s="11">
        <v>0</v>
      </c>
      <c r="K6" s="11">
        <v>8159.5517511392609</v>
      </c>
      <c r="L6" s="11">
        <v>-6686.8118252733611</v>
      </c>
      <c r="M6" s="11">
        <v>-3147.3219521648643</v>
      </c>
      <c r="N6" s="11">
        <v>0</v>
      </c>
      <c r="O6" s="12">
        <v>8159.5517511392609</v>
      </c>
      <c r="P6" s="10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2">
        <v>0</v>
      </c>
      <c r="X6" s="10">
        <v>851.64829023157984</v>
      </c>
      <c r="Y6" s="11">
        <v>851.64829023157984</v>
      </c>
      <c r="Z6" s="11">
        <v>851.64829023157984</v>
      </c>
      <c r="AA6" s="11">
        <v>851.64829023157984</v>
      </c>
      <c r="AB6" s="11">
        <v>851.64829023157984</v>
      </c>
      <c r="AC6" s="11">
        <v>851.64829023157984</v>
      </c>
      <c r="AD6" s="11">
        <v>851.64829023157984</v>
      </c>
      <c r="AE6" s="12">
        <v>851.64829023157984</v>
      </c>
    </row>
    <row r="7" spans="2:31" x14ac:dyDescent="0.25">
      <c r="B7" s="4">
        <v>2</v>
      </c>
      <c r="C7" s="5" t="s">
        <v>25</v>
      </c>
      <c r="D7" s="5">
        <v>0</v>
      </c>
      <c r="E7" s="5">
        <v>0</v>
      </c>
      <c r="F7" s="5">
        <v>5</v>
      </c>
      <c r="G7" s="5">
        <v>320</v>
      </c>
      <c r="H7" s="13">
        <v>-26908.373261938741</v>
      </c>
      <c r="I7" s="14">
        <v>-13575.827258300646</v>
      </c>
      <c r="J7" s="14">
        <v>0</v>
      </c>
      <c r="K7" s="14">
        <v>29014.890390577664</v>
      </c>
      <c r="L7" s="14">
        <v>-26908.373261938741</v>
      </c>
      <c r="M7" s="14">
        <v>-13575.827258300646</v>
      </c>
      <c r="N7" s="14">
        <v>0</v>
      </c>
      <c r="O7" s="15">
        <v>29014.890390577664</v>
      </c>
      <c r="P7" s="13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5">
        <v>0</v>
      </c>
      <c r="X7" s="13">
        <v>1126.5547950086498</v>
      </c>
      <c r="Y7" s="14">
        <v>1126.5547950086498</v>
      </c>
      <c r="Z7" s="14">
        <v>1126.5547950086498</v>
      </c>
      <c r="AA7" s="14">
        <v>1126.5547950086498</v>
      </c>
      <c r="AB7" s="14">
        <v>1126.5547950086498</v>
      </c>
      <c r="AC7" s="14">
        <v>1126.5547950086498</v>
      </c>
      <c r="AD7" s="14">
        <v>1126.5547950086498</v>
      </c>
      <c r="AE7" s="15">
        <v>1126.5547950086498</v>
      </c>
    </row>
    <row r="8" spans="2:31" x14ac:dyDescent="0.25">
      <c r="B8" s="4">
        <v>3</v>
      </c>
      <c r="C8" s="5" t="s">
        <v>26</v>
      </c>
      <c r="D8" s="5">
        <v>2.8</v>
      </c>
      <c r="E8" s="5">
        <v>0</v>
      </c>
      <c r="F8" s="5">
        <v>4</v>
      </c>
      <c r="G8" s="5">
        <v>250</v>
      </c>
      <c r="H8" s="13">
        <v>-19234.919684557415</v>
      </c>
      <c r="I8" s="14">
        <v>-9528.3917823668489</v>
      </c>
      <c r="J8" s="14">
        <v>0</v>
      </c>
      <c r="K8" s="14">
        <v>21479.038390411064</v>
      </c>
      <c r="L8" s="14">
        <v>-19234.919684557415</v>
      </c>
      <c r="M8" s="14">
        <v>-9528.3917823668489</v>
      </c>
      <c r="N8" s="14">
        <v>0</v>
      </c>
      <c r="O8" s="15">
        <v>21479.038390411064</v>
      </c>
      <c r="P8" s="13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5">
        <v>0</v>
      </c>
      <c r="X8" s="13">
        <v>1287.2969013242609</v>
      </c>
      <c r="Y8" s="14">
        <v>1287.2969013242609</v>
      </c>
      <c r="Z8" s="14">
        <v>1287.2969013242609</v>
      </c>
      <c r="AA8" s="14">
        <v>1287.2969013242609</v>
      </c>
      <c r="AB8" s="14">
        <v>1287.2969013242609</v>
      </c>
      <c r="AC8" s="14">
        <v>1287.2969013242609</v>
      </c>
      <c r="AD8" s="14">
        <v>1287.2969013242609</v>
      </c>
      <c r="AE8" s="15">
        <v>1287.2969013242609</v>
      </c>
    </row>
    <row r="9" spans="2:31" x14ac:dyDescent="0.25">
      <c r="B9" s="4">
        <v>4</v>
      </c>
      <c r="C9" s="5" t="s">
        <v>27</v>
      </c>
      <c r="D9" s="5">
        <v>0</v>
      </c>
      <c r="E9" s="5">
        <v>3</v>
      </c>
      <c r="F9" s="5">
        <v>1</v>
      </c>
      <c r="G9" s="5">
        <v>320</v>
      </c>
      <c r="H9" s="13">
        <v>-1139.0875535464884</v>
      </c>
      <c r="I9" s="14">
        <v>6151.3386273593233</v>
      </c>
      <c r="J9" s="14">
        <v>0</v>
      </c>
      <c r="K9" s="14">
        <v>15183.276447484061</v>
      </c>
      <c r="L9" s="14">
        <v>-16141.330597928623</v>
      </c>
      <c r="M9" s="14">
        <v>-14869.6646849014</v>
      </c>
      <c r="N9" s="14">
        <v>0</v>
      </c>
      <c r="O9" s="15">
        <v>3449.9361100956503</v>
      </c>
      <c r="P9" s="13">
        <v>-33.48130466000498</v>
      </c>
      <c r="Q9" s="14">
        <v>-314.7831102646096</v>
      </c>
      <c r="R9" s="14">
        <v>-843.20749124381257</v>
      </c>
      <c r="S9" s="14">
        <v>-1213.3996065704255</v>
      </c>
      <c r="T9" s="14">
        <v>-1168.9544517094212</v>
      </c>
      <c r="U9" s="14">
        <v>-887.65264610481654</v>
      </c>
      <c r="V9" s="14">
        <v>-359.22826512561358</v>
      </c>
      <c r="W9" s="15">
        <v>10.963850200999218</v>
      </c>
      <c r="X9" s="13">
        <v>1026.0913996239944</v>
      </c>
      <c r="Y9" s="14">
        <v>1307.3904426008726</v>
      </c>
      <c r="Z9" s="14">
        <v>946.52219585058344</v>
      </c>
      <c r="AA9" s="14">
        <v>873.3125611031561</v>
      </c>
      <c r="AB9" s="14">
        <v>1026.0913996239944</v>
      </c>
      <c r="AC9" s="14">
        <v>1307.3904426008726</v>
      </c>
      <c r="AD9" s="14">
        <v>946.52219585058344</v>
      </c>
      <c r="AE9" s="15">
        <v>873.3125611031561</v>
      </c>
    </row>
    <row r="10" spans="2:31" x14ac:dyDescent="0.25">
      <c r="B10" s="4">
        <v>5</v>
      </c>
      <c r="C10" s="5" t="s">
        <v>28</v>
      </c>
      <c r="D10" s="5">
        <v>0</v>
      </c>
      <c r="E10" s="5">
        <v>2.5</v>
      </c>
      <c r="F10" s="5">
        <v>4</v>
      </c>
      <c r="G10" s="5">
        <v>200</v>
      </c>
      <c r="H10" s="13">
        <v>-13608.310845776574</v>
      </c>
      <c r="I10" s="14">
        <v>-1260.6460413696605</v>
      </c>
      <c r="J10" s="14">
        <v>0</v>
      </c>
      <c r="K10" s="14">
        <v>26302.814688893493</v>
      </c>
      <c r="L10" s="14">
        <v>-26110.180049428342</v>
      </c>
      <c r="M10" s="14">
        <v>-18778.148801586925</v>
      </c>
      <c r="N10" s="14">
        <v>0</v>
      </c>
      <c r="O10" s="15">
        <v>16525.031074403152</v>
      </c>
      <c r="P10" s="13">
        <v>-27.901087216670589</v>
      </c>
      <c r="Q10" s="14">
        <v>-262.31925855384134</v>
      </c>
      <c r="R10" s="14">
        <v>-702.67290936984443</v>
      </c>
      <c r="S10" s="14">
        <v>-1011.1663388086887</v>
      </c>
      <c r="T10" s="14">
        <v>-974.12870975785188</v>
      </c>
      <c r="U10" s="14">
        <v>-739.71053842068113</v>
      </c>
      <c r="V10" s="14">
        <v>-299.35688760467804</v>
      </c>
      <c r="W10" s="15">
        <v>9.1365418341662235</v>
      </c>
      <c r="X10" s="13">
        <v>1434.5667834325018</v>
      </c>
      <c r="Y10" s="14">
        <v>1668.9826525799006</v>
      </c>
      <c r="Z10" s="14">
        <v>1368.2591136213257</v>
      </c>
      <c r="AA10" s="14">
        <v>1307.2510846651362</v>
      </c>
      <c r="AB10" s="14">
        <v>1434.5667834325018</v>
      </c>
      <c r="AC10" s="14">
        <v>1668.9826525799006</v>
      </c>
      <c r="AD10" s="14">
        <v>1368.2591136213257</v>
      </c>
      <c r="AE10" s="15">
        <v>1307.2510846651362</v>
      </c>
    </row>
    <row r="11" spans="2:31" x14ac:dyDescent="0.25">
      <c r="B11" s="4">
        <v>6</v>
      </c>
      <c r="C11" s="5" t="s">
        <v>29</v>
      </c>
      <c r="D11" s="5">
        <v>2.6</v>
      </c>
      <c r="E11" s="5">
        <v>2.5</v>
      </c>
      <c r="F11" s="5">
        <v>1</v>
      </c>
      <c r="G11" s="5">
        <v>320</v>
      </c>
      <c r="H11" s="13">
        <v>-978.48757079864117</v>
      </c>
      <c r="I11" s="14">
        <v>5274.8069066642747</v>
      </c>
      <c r="J11" s="14">
        <v>0</v>
      </c>
      <c r="K11" s="14">
        <v>13369.847593842927</v>
      </c>
      <c r="L11" s="14">
        <v>-13480.356774450411</v>
      </c>
      <c r="M11" s="14">
        <v>-12242.695853552988</v>
      </c>
      <c r="N11" s="14">
        <v>0</v>
      </c>
      <c r="O11" s="15">
        <v>3592.0639793525897</v>
      </c>
      <c r="P11" s="13">
        <v>-27.901087216670589</v>
      </c>
      <c r="Q11" s="14">
        <v>-262.31925855384134</v>
      </c>
      <c r="R11" s="14">
        <v>-702.67290936984443</v>
      </c>
      <c r="S11" s="14">
        <v>-1011.1663388086887</v>
      </c>
      <c r="T11" s="14">
        <v>-974.12870975785188</v>
      </c>
      <c r="U11" s="14">
        <v>-739.71053842068113</v>
      </c>
      <c r="V11" s="14">
        <v>-299.35688760467804</v>
      </c>
      <c r="W11" s="15">
        <v>9.1365418341662235</v>
      </c>
      <c r="X11" s="13">
        <v>1289.6382885044522</v>
      </c>
      <c r="Y11" s="14">
        <v>1524.0541576518513</v>
      </c>
      <c r="Z11" s="14">
        <v>1223.3306186932764</v>
      </c>
      <c r="AA11" s="14">
        <v>1162.3225897370869</v>
      </c>
      <c r="AB11" s="14">
        <v>1289.6382885044522</v>
      </c>
      <c r="AC11" s="14">
        <v>1524.0541576518513</v>
      </c>
      <c r="AD11" s="14">
        <v>1223.3306186932764</v>
      </c>
      <c r="AE11" s="15">
        <v>1162.3225897370869</v>
      </c>
    </row>
    <row r="12" spans="2:31" x14ac:dyDescent="0.25">
      <c r="B12" s="4">
        <v>7</v>
      </c>
      <c r="C12" s="5" t="s">
        <v>30</v>
      </c>
      <c r="D12" s="5">
        <v>-2.5</v>
      </c>
      <c r="E12" s="5">
        <v>0</v>
      </c>
      <c r="F12" s="5">
        <v>5</v>
      </c>
      <c r="G12" s="5">
        <v>0</v>
      </c>
      <c r="H12" s="13">
        <v>-24191.731101129397</v>
      </c>
      <c r="I12" s="14">
        <v>-12362.386590110742</v>
      </c>
      <c r="J12" s="14">
        <v>0</v>
      </c>
      <c r="K12" s="14">
        <v>25426.365228381015</v>
      </c>
      <c r="L12" s="14">
        <v>-24191.731101129397</v>
      </c>
      <c r="M12" s="14">
        <v>-12362.386590110742</v>
      </c>
      <c r="N12" s="14">
        <v>0</v>
      </c>
      <c r="O12" s="15">
        <v>25426.365228381015</v>
      </c>
      <c r="P12" s="13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5">
        <v>0</v>
      </c>
      <c r="X12" s="13">
        <v>636.25387141719739</v>
      </c>
      <c r="Y12" s="14">
        <v>636.25387141719739</v>
      </c>
      <c r="Z12" s="14">
        <v>636.25387141719739</v>
      </c>
      <c r="AA12" s="14">
        <v>636.25387141719739</v>
      </c>
      <c r="AB12" s="14">
        <v>636.25387141719739</v>
      </c>
      <c r="AC12" s="14">
        <v>636.25387141719739</v>
      </c>
      <c r="AD12" s="14">
        <v>636.25387141719739</v>
      </c>
      <c r="AE12" s="15">
        <v>636.25387141719739</v>
      </c>
    </row>
    <row r="13" spans="2:31" x14ac:dyDescent="0.25">
      <c r="B13" s="4">
        <v>8</v>
      </c>
      <c r="C13" s="5" t="s">
        <v>31</v>
      </c>
      <c r="D13" s="5">
        <v>-1.6</v>
      </c>
      <c r="E13" s="5">
        <v>0</v>
      </c>
      <c r="F13" s="5">
        <v>1</v>
      </c>
      <c r="G13" s="5">
        <v>150</v>
      </c>
      <c r="H13" s="13">
        <v>-11163.772415501211</v>
      </c>
      <c r="I13" s="14">
        <v>-6572.0789173259982</v>
      </c>
      <c r="J13" s="14">
        <v>0</v>
      </c>
      <c r="K13" s="14">
        <v>8096.0513300856201</v>
      </c>
      <c r="L13" s="14">
        <v>-11163.772415501211</v>
      </c>
      <c r="M13" s="14">
        <v>-6572.0789173259982</v>
      </c>
      <c r="N13" s="14">
        <v>0</v>
      </c>
      <c r="O13" s="15">
        <v>8096.0513300856201</v>
      </c>
      <c r="P13" s="13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5">
        <v>0</v>
      </c>
      <c r="X13" s="13">
        <v>-6.3291831984253122</v>
      </c>
      <c r="Y13" s="14">
        <v>-6.3291831984253122</v>
      </c>
      <c r="Z13" s="14">
        <v>-6.3291831984253122</v>
      </c>
      <c r="AA13" s="14">
        <v>-6.3291831984253122</v>
      </c>
      <c r="AB13" s="14">
        <v>-6.3291831984253122</v>
      </c>
      <c r="AC13" s="14">
        <v>-6.3291831984253122</v>
      </c>
      <c r="AD13" s="14">
        <v>-6.3291831984253122</v>
      </c>
      <c r="AE13" s="15">
        <v>-6.3291831984253122</v>
      </c>
    </row>
    <row r="14" spans="2:31" x14ac:dyDescent="0.25">
      <c r="B14" s="4">
        <v>9</v>
      </c>
      <c r="C14" s="5" t="s">
        <v>32</v>
      </c>
      <c r="D14" s="5">
        <v>-2</v>
      </c>
      <c r="E14" s="5">
        <v>0</v>
      </c>
      <c r="F14" s="5">
        <v>5</v>
      </c>
      <c r="G14" s="5">
        <v>150</v>
      </c>
      <c r="H14" s="13">
        <v>-30857.373641555572</v>
      </c>
      <c r="I14" s="14">
        <v>-16742.837006723719</v>
      </c>
      <c r="J14" s="14">
        <v>0</v>
      </c>
      <c r="K14" s="14">
        <v>28345.943815396466</v>
      </c>
      <c r="L14" s="14">
        <v>-30857.373641555572</v>
      </c>
      <c r="M14" s="14">
        <v>-16742.837006723719</v>
      </c>
      <c r="N14" s="14">
        <v>0</v>
      </c>
      <c r="O14" s="15">
        <v>28345.943815396466</v>
      </c>
      <c r="P14" s="13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5">
        <v>0</v>
      </c>
      <c r="X14" s="13">
        <v>736.7705062920204</v>
      </c>
      <c r="Y14" s="14">
        <v>736.7705062920204</v>
      </c>
      <c r="Z14" s="14">
        <v>736.7705062920204</v>
      </c>
      <c r="AA14" s="14">
        <v>736.7705062920204</v>
      </c>
      <c r="AB14" s="14">
        <v>736.7705062920204</v>
      </c>
      <c r="AC14" s="14">
        <v>736.7705062920204</v>
      </c>
      <c r="AD14" s="14">
        <v>736.7705062920204</v>
      </c>
      <c r="AE14" s="15">
        <v>736.7705062920204</v>
      </c>
    </row>
    <row r="15" spans="2:31" x14ac:dyDescent="0.25">
      <c r="B15" s="7">
        <v>10</v>
      </c>
      <c r="C15" s="8" t="s">
        <v>33</v>
      </c>
      <c r="D15" s="8">
        <v>0</v>
      </c>
      <c r="E15" s="8">
        <v>0</v>
      </c>
      <c r="F15" s="8">
        <v>5</v>
      </c>
      <c r="G15" s="8">
        <v>320</v>
      </c>
      <c r="H15" s="16">
        <v>-26302.812373399964</v>
      </c>
      <c r="I15" s="17">
        <v>-13270.309346193564</v>
      </c>
      <c r="J15" s="17">
        <v>0</v>
      </c>
      <c r="K15" s="17">
        <v>28361.923277525679</v>
      </c>
      <c r="L15" s="17">
        <v>-26302.812373399964</v>
      </c>
      <c r="M15" s="17">
        <v>-13270.309346193564</v>
      </c>
      <c r="N15" s="17">
        <v>0</v>
      </c>
      <c r="O15" s="18">
        <v>28361.923277525679</v>
      </c>
      <c r="P15" s="16">
        <v>-4823.3039939716155</v>
      </c>
      <c r="Q15" s="17">
        <v>-2433.455980375099</v>
      </c>
      <c r="R15" s="17">
        <v>2055.8645005398862</v>
      </c>
      <c r="S15" s="17">
        <v>5200.8954738068296</v>
      </c>
      <c r="T15" s="17">
        <v>4823.3039939716155</v>
      </c>
      <c r="U15" s="17">
        <v>2433.455980375099</v>
      </c>
      <c r="V15" s="17">
        <v>-2055.8645005398862</v>
      </c>
      <c r="W15" s="18">
        <v>-5200.8954738068296</v>
      </c>
      <c r="X15" s="16">
        <v>-3091.454485649976</v>
      </c>
      <c r="Y15" s="17">
        <v>-5481.2790288660963</v>
      </c>
      <c r="Z15" s="17">
        <v>-2415.4605894407641</v>
      </c>
      <c r="AA15" s="17">
        <v>-1793.4955089066298</v>
      </c>
      <c r="AB15" s="17">
        <v>-3091.454485649976</v>
      </c>
      <c r="AC15" s="17">
        <v>-5481.2790288660963</v>
      </c>
      <c r="AD15" s="17">
        <v>-2415.4605894407641</v>
      </c>
      <c r="AE15" s="18">
        <v>-1793.4955089066298</v>
      </c>
    </row>
    <row r="17" spans="2:23" x14ac:dyDescent="0.25">
      <c r="H17" s="1" t="s">
        <v>34</v>
      </c>
      <c r="I17" s="2"/>
      <c r="J17" s="2"/>
      <c r="K17" s="2"/>
      <c r="L17" s="2"/>
      <c r="M17" s="2"/>
      <c r="N17" s="2"/>
      <c r="O17" s="3"/>
      <c r="P17" s="1" t="s">
        <v>38</v>
      </c>
      <c r="Q17" s="2"/>
      <c r="R17" s="2"/>
      <c r="S17" s="2"/>
      <c r="T17" s="2"/>
      <c r="U17" s="2"/>
      <c r="V17" s="2"/>
      <c r="W17" s="3"/>
    </row>
    <row r="18" spans="2:23" x14ac:dyDescent="0.25">
      <c r="B18" t="s">
        <v>10</v>
      </c>
      <c r="C18" t="s">
        <v>11</v>
      </c>
      <c r="H18" s="4" t="s">
        <v>16</v>
      </c>
      <c r="I18" s="5" t="s">
        <v>17</v>
      </c>
      <c r="J18" s="5" t="s">
        <v>18</v>
      </c>
      <c r="K18" s="5" t="s">
        <v>19</v>
      </c>
      <c r="L18" s="5" t="s">
        <v>20</v>
      </c>
      <c r="M18" s="5" t="s">
        <v>21</v>
      </c>
      <c r="N18" s="5" t="s">
        <v>22</v>
      </c>
      <c r="O18" s="6" t="s">
        <v>23</v>
      </c>
      <c r="P18" s="4" t="s">
        <v>16</v>
      </c>
      <c r="Q18" s="5" t="s">
        <v>17</v>
      </c>
      <c r="R18" s="5" t="s">
        <v>18</v>
      </c>
      <c r="S18" s="5" t="s">
        <v>19</v>
      </c>
      <c r="T18" s="5" t="s">
        <v>20</v>
      </c>
      <c r="U18" s="5" t="s">
        <v>21</v>
      </c>
      <c r="V18" s="5" t="s">
        <v>22</v>
      </c>
      <c r="W18" s="6" t="s">
        <v>23</v>
      </c>
    </row>
    <row r="19" spans="2:23" x14ac:dyDescent="0.25">
      <c r="B19" s="1">
        <v>1</v>
      </c>
      <c r="C19" s="2" t="s">
        <v>24</v>
      </c>
      <c r="D19" s="2"/>
      <c r="E19" s="2"/>
      <c r="F19" s="2"/>
      <c r="G19" s="3"/>
      <c r="H19" s="10">
        <f t="shared" ref="H19:H28" si="0">SQRT(P6^2+X6^2)</f>
        <v>851.64829023157984</v>
      </c>
      <c r="I19" s="11">
        <f t="shared" ref="I19:I28" si="1">SQRT(Q6^2+Y6^2)</f>
        <v>851.64829023157984</v>
      </c>
      <c r="J19" s="11">
        <f t="shared" ref="J19:J28" si="2">SQRT(R6^2+Z6^2)</f>
        <v>851.64829023157984</v>
      </c>
      <c r="K19" s="11">
        <f t="shared" ref="K19:K28" si="3">SQRT(S6^2+AA6^2)</f>
        <v>851.64829023157984</v>
      </c>
      <c r="L19" s="11">
        <f t="shared" ref="L19:L28" si="4">SQRT(T6^2+AB6^2)</f>
        <v>851.64829023157984</v>
      </c>
      <c r="M19" s="11">
        <f t="shared" ref="M19:M28" si="5">SQRT(U6^2+AC6^2)</f>
        <v>851.64829023157984</v>
      </c>
      <c r="N19" s="11">
        <f t="shared" ref="N19:N28" si="6">SQRT(V6^2+AD6^2)</f>
        <v>851.64829023157984</v>
      </c>
      <c r="O19" s="12">
        <f t="shared" ref="O19:O28" si="7">SQRT(W6^2+AE6^2)</f>
        <v>851.64829023157984</v>
      </c>
      <c r="P19" s="20">
        <f t="shared" ref="P19:P28" si="8">H19/$D$33*$D$34</f>
        <v>4367.4271293927168</v>
      </c>
      <c r="Q19" s="21">
        <f t="shared" ref="Q19:Q28" si="9">I19/$D$33*$D$34</f>
        <v>4367.4271293927168</v>
      </c>
      <c r="R19" s="21">
        <f t="shared" ref="R19:R28" si="10">J19/$D$33*$D$34</f>
        <v>4367.4271293927168</v>
      </c>
      <c r="S19" s="21">
        <f t="shared" ref="S19:S28" si="11">K19/$D$33*$D$34</f>
        <v>4367.4271293927168</v>
      </c>
      <c r="T19" s="21">
        <f t="shared" ref="T19:T28" si="12">L19/$D$33*$D$34</f>
        <v>4367.4271293927168</v>
      </c>
      <c r="U19" s="21">
        <f t="shared" ref="U19:U28" si="13">M19/$D$33*$D$34</f>
        <v>4367.4271293927168</v>
      </c>
      <c r="V19" s="21">
        <f t="shared" ref="V19:V28" si="14">N19/$D$33*$D$34</f>
        <v>4367.4271293927168</v>
      </c>
      <c r="W19" s="22">
        <f t="shared" ref="W19:W28" si="15">O19/$D$33*$D$34</f>
        <v>4367.4271293927168</v>
      </c>
    </row>
    <row r="20" spans="2:23" x14ac:dyDescent="0.25">
      <c r="B20" s="4">
        <v>2</v>
      </c>
      <c r="C20" s="5" t="s">
        <v>25</v>
      </c>
      <c r="D20" s="5"/>
      <c r="E20" s="5"/>
      <c r="F20" s="5"/>
      <c r="G20" s="6"/>
      <c r="H20" s="13">
        <f t="shared" si="0"/>
        <v>1126.5547950086498</v>
      </c>
      <c r="I20" s="14">
        <f t="shared" si="1"/>
        <v>1126.5547950086498</v>
      </c>
      <c r="J20" s="14">
        <f t="shared" si="2"/>
        <v>1126.5547950086498</v>
      </c>
      <c r="K20" s="14">
        <f t="shared" si="3"/>
        <v>1126.5547950086498</v>
      </c>
      <c r="L20" s="14">
        <f t="shared" si="4"/>
        <v>1126.5547950086498</v>
      </c>
      <c r="M20" s="14">
        <f t="shared" si="5"/>
        <v>1126.5547950086498</v>
      </c>
      <c r="N20" s="14">
        <f t="shared" si="6"/>
        <v>1126.5547950086498</v>
      </c>
      <c r="O20" s="15">
        <f t="shared" si="7"/>
        <v>1126.5547950086498</v>
      </c>
      <c r="P20" s="23">
        <f t="shared" si="8"/>
        <v>5777.204076967434</v>
      </c>
      <c r="Q20" s="19">
        <f t="shared" si="9"/>
        <v>5777.204076967434</v>
      </c>
      <c r="R20" s="19">
        <f t="shared" si="10"/>
        <v>5777.204076967434</v>
      </c>
      <c r="S20" s="19">
        <f t="shared" si="11"/>
        <v>5777.204076967434</v>
      </c>
      <c r="T20" s="19">
        <f t="shared" si="12"/>
        <v>5777.204076967434</v>
      </c>
      <c r="U20" s="19">
        <f t="shared" si="13"/>
        <v>5777.204076967434</v>
      </c>
      <c r="V20" s="19">
        <f t="shared" si="14"/>
        <v>5777.204076967434</v>
      </c>
      <c r="W20" s="24">
        <f t="shared" si="15"/>
        <v>5777.204076967434</v>
      </c>
    </row>
    <row r="21" spans="2:23" x14ac:dyDescent="0.25">
      <c r="B21" s="4">
        <v>3</v>
      </c>
      <c r="C21" s="5" t="s">
        <v>26</v>
      </c>
      <c r="D21" s="5"/>
      <c r="E21" s="5"/>
      <c r="F21" s="5"/>
      <c r="G21" s="6"/>
      <c r="H21" s="13">
        <f t="shared" si="0"/>
        <v>1287.2969013242609</v>
      </c>
      <c r="I21" s="14">
        <f t="shared" si="1"/>
        <v>1287.2969013242609</v>
      </c>
      <c r="J21" s="14">
        <f t="shared" si="2"/>
        <v>1287.2969013242609</v>
      </c>
      <c r="K21" s="14">
        <f t="shared" si="3"/>
        <v>1287.2969013242609</v>
      </c>
      <c r="L21" s="14">
        <f t="shared" si="4"/>
        <v>1287.2969013242609</v>
      </c>
      <c r="M21" s="14">
        <f t="shared" si="5"/>
        <v>1287.2969013242609</v>
      </c>
      <c r="N21" s="14">
        <f t="shared" si="6"/>
        <v>1287.2969013242609</v>
      </c>
      <c r="O21" s="15">
        <f t="shared" si="7"/>
        <v>1287.2969013242609</v>
      </c>
      <c r="P21" s="23">
        <f t="shared" si="8"/>
        <v>6601.5225708936459</v>
      </c>
      <c r="Q21" s="19">
        <f t="shared" si="9"/>
        <v>6601.5225708936459</v>
      </c>
      <c r="R21" s="19">
        <f t="shared" si="10"/>
        <v>6601.5225708936459</v>
      </c>
      <c r="S21" s="19">
        <f t="shared" si="11"/>
        <v>6601.5225708936459</v>
      </c>
      <c r="T21" s="19">
        <f t="shared" si="12"/>
        <v>6601.5225708936459</v>
      </c>
      <c r="U21" s="19">
        <f t="shared" si="13"/>
        <v>6601.5225708936459</v>
      </c>
      <c r="V21" s="19">
        <f t="shared" si="14"/>
        <v>6601.5225708936459</v>
      </c>
      <c r="W21" s="24">
        <f t="shared" si="15"/>
        <v>6601.5225708936459</v>
      </c>
    </row>
    <row r="22" spans="2:23" x14ac:dyDescent="0.25">
      <c r="B22" s="4">
        <v>4</v>
      </c>
      <c r="C22" s="5" t="s">
        <v>27</v>
      </c>
      <c r="D22" s="5"/>
      <c r="E22" s="5"/>
      <c r="F22" s="5"/>
      <c r="G22" s="6"/>
      <c r="H22" s="13">
        <f t="shared" si="0"/>
        <v>1026.6375008463619</v>
      </c>
      <c r="I22" s="14">
        <f t="shared" si="1"/>
        <v>1344.7520871565757</v>
      </c>
      <c r="J22" s="14">
        <f t="shared" si="2"/>
        <v>1267.6368330588593</v>
      </c>
      <c r="K22" s="14">
        <f t="shared" si="3"/>
        <v>1494.9961319701858</v>
      </c>
      <c r="L22" s="14">
        <f t="shared" si="4"/>
        <v>1555.4157227421874</v>
      </c>
      <c r="M22" s="14">
        <f t="shared" si="5"/>
        <v>1580.252191753262</v>
      </c>
      <c r="N22" s="14">
        <f t="shared" si="6"/>
        <v>1012.3977546907976</v>
      </c>
      <c r="O22" s="15">
        <f t="shared" si="7"/>
        <v>873.38138026396223</v>
      </c>
      <c r="P22" s="23">
        <f t="shared" si="8"/>
        <v>5264.8076966480094</v>
      </c>
      <c r="Q22" s="19">
        <f t="shared" si="9"/>
        <v>6896.1645495209013</v>
      </c>
      <c r="R22" s="19">
        <f t="shared" si="10"/>
        <v>6500.7017079941506</v>
      </c>
      <c r="S22" s="19">
        <f t="shared" si="11"/>
        <v>7666.646830616337</v>
      </c>
      <c r="T22" s="19">
        <f t="shared" si="12"/>
        <v>7976.4908858573708</v>
      </c>
      <c r="U22" s="19">
        <f t="shared" si="13"/>
        <v>8103.8573936064713</v>
      </c>
      <c r="V22" s="19">
        <f t="shared" si="14"/>
        <v>5191.7833573887056</v>
      </c>
      <c r="W22" s="24">
        <f t="shared" si="15"/>
        <v>4478.8788731485238</v>
      </c>
    </row>
    <row r="23" spans="2:23" x14ac:dyDescent="0.25">
      <c r="B23" s="4">
        <v>5</v>
      </c>
      <c r="C23" s="5" t="s">
        <v>28</v>
      </c>
      <c r="D23" s="5"/>
      <c r="E23" s="5"/>
      <c r="F23" s="5"/>
      <c r="G23" s="6"/>
      <c r="H23" s="13">
        <f t="shared" si="0"/>
        <v>1434.8380838254004</v>
      </c>
      <c r="I23" s="14">
        <f t="shared" si="1"/>
        <v>1689.471659431101</v>
      </c>
      <c r="J23" s="14">
        <f t="shared" si="2"/>
        <v>1538.1424575019369</v>
      </c>
      <c r="K23" s="14">
        <f t="shared" si="3"/>
        <v>1652.6835036079783</v>
      </c>
      <c r="L23" s="14">
        <f t="shared" si="4"/>
        <v>1734.0440015473575</v>
      </c>
      <c r="M23" s="14">
        <f t="shared" si="5"/>
        <v>1825.5614958864726</v>
      </c>
      <c r="N23" s="14">
        <f t="shared" si="6"/>
        <v>1400.6239852880485</v>
      </c>
      <c r="O23" s="15">
        <f t="shared" si="7"/>
        <v>1307.2830124937991</v>
      </c>
      <c r="P23" s="23">
        <f t="shared" si="8"/>
        <v>7358.1440196174381</v>
      </c>
      <c r="Q23" s="19">
        <f t="shared" si="9"/>
        <v>8663.957227851799</v>
      </c>
      <c r="R23" s="19">
        <f t="shared" si="10"/>
        <v>7887.9100384714711</v>
      </c>
      <c r="S23" s="19">
        <f t="shared" si="11"/>
        <v>8475.3000185024521</v>
      </c>
      <c r="T23" s="19">
        <f t="shared" si="12"/>
        <v>8892.5333412684995</v>
      </c>
      <c r="U23" s="19">
        <f t="shared" si="13"/>
        <v>9361.8538250588335</v>
      </c>
      <c r="V23" s="19">
        <f t="shared" si="14"/>
        <v>7182.6871040412743</v>
      </c>
      <c r="W23" s="24">
        <f t="shared" si="15"/>
        <v>6704.0154486861493</v>
      </c>
    </row>
    <row r="24" spans="2:23" x14ac:dyDescent="0.25">
      <c r="B24" s="4">
        <v>6</v>
      </c>
      <c r="C24" s="5" t="s">
        <v>29</v>
      </c>
      <c r="D24" s="5"/>
      <c r="E24" s="5"/>
      <c r="F24" s="5"/>
      <c r="G24" s="6"/>
      <c r="H24" s="13">
        <f t="shared" si="0"/>
        <v>1289.9400706407121</v>
      </c>
      <c r="I24" s="14">
        <f t="shared" si="1"/>
        <v>1546.4645061766309</v>
      </c>
      <c r="J24" s="14">
        <f t="shared" si="2"/>
        <v>1410.7753259093936</v>
      </c>
      <c r="K24" s="14">
        <f t="shared" si="3"/>
        <v>1540.6009111229605</v>
      </c>
      <c r="L24" s="14">
        <f t="shared" si="4"/>
        <v>1616.1972832396391</v>
      </c>
      <c r="M24" s="14">
        <f t="shared" si="5"/>
        <v>1694.0816851930451</v>
      </c>
      <c r="N24" s="14">
        <f t="shared" si="6"/>
        <v>1259.4254042176672</v>
      </c>
      <c r="O24" s="15">
        <f t="shared" si="7"/>
        <v>1162.3584984890917</v>
      </c>
      <c r="P24" s="23">
        <f t="shared" si="8"/>
        <v>6615.0772853369845</v>
      </c>
      <c r="Q24" s="19">
        <f t="shared" si="9"/>
        <v>7930.5872111622093</v>
      </c>
      <c r="R24" s="19">
        <f t="shared" si="10"/>
        <v>7234.7452610738128</v>
      </c>
      <c r="S24" s="19">
        <f t="shared" si="11"/>
        <v>7900.5174929382583</v>
      </c>
      <c r="T24" s="19">
        <f t="shared" si="12"/>
        <v>8288.1911961007136</v>
      </c>
      <c r="U24" s="19">
        <f t="shared" si="13"/>
        <v>8687.598385605359</v>
      </c>
      <c r="V24" s="19">
        <f t="shared" si="14"/>
        <v>6458.591816500857</v>
      </c>
      <c r="W24" s="24">
        <f t="shared" si="15"/>
        <v>5960.8128127645732</v>
      </c>
    </row>
    <row r="25" spans="2:23" x14ac:dyDescent="0.25">
      <c r="B25" s="4">
        <v>7</v>
      </c>
      <c r="C25" s="5" t="s">
        <v>30</v>
      </c>
      <c r="D25" s="5"/>
      <c r="E25" s="5"/>
      <c r="F25" s="5"/>
      <c r="G25" s="6"/>
      <c r="H25" s="13">
        <f t="shared" si="0"/>
        <v>636.25387141719739</v>
      </c>
      <c r="I25" s="14">
        <f t="shared" si="1"/>
        <v>636.25387141719739</v>
      </c>
      <c r="J25" s="14">
        <f t="shared" si="2"/>
        <v>636.25387141719739</v>
      </c>
      <c r="K25" s="14">
        <f t="shared" si="3"/>
        <v>636.25387141719739</v>
      </c>
      <c r="L25" s="14">
        <f t="shared" si="4"/>
        <v>636.25387141719739</v>
      </c>
      <c r="M25" s="14">
        <f t="shared" si="5"/>
        <v>636.25387141719739</v>
      </c>
      <c r="N25" s="14">
        <f t="shared" si="6"/>
        <v>636.25387141719739</v>
      </c>
      <c r="O25" s="15">
        <f t="shared" si="7"/>
        <v>636.25387141719739</v>
      </c>
      <c r="P25" s="23">
        <f t="shared" si="8"/>
        <v>3262.8403662420378</v>
      </c>
      <c r="Q25" s="19">
        <f t="shared" si="9"/>
        <v>3262.8403662420378</v>
      </c>
      <c r="R25" s="19">
        <f t="shared" si="10"/>
        <v>3262.8403662420378</v>
      </c>
      <c r="S25" s="19">
        <f t="shared" si="11"/>
        <v>3262.8403662420378</v>
      </c>
      <c r="T25" s="19">
        <f t="shared" si="12"/>
        <v>3262.8403662420378</v>
      </c>
      <c r="U25" s="19">
        <f t="shared" si="13"/>
        <v>3262.8403662420378</v>
      </c>
      <c r="V25" s="19">
        <f t="shared" si="14"/>
        <v>3262.8403662420378</v>
      </c>
      <c r="W25" s="24">
        <f t="shared" si="15"/>
        <v>3262.8403662420378</v>
      </c>
    </row>
    <row r="26" spans="2:23" x14ac:dyDescent="0.25">
      <c r="B26" s="4">
        <v>8</v>
      </c>
      <c r="C26" s="5" t="s">
        <v>31</v>
      </c>
      <c r="D26" s="5"/>
      <c r="E26" s="5"/>
      <c r="F26" s="5"/>
      <c r="G26" s="6"/>
      <c r="H26" s="13">
        <f t="shared" si="0"/>
        <v>6.3291831984253122</v>
      </c>
      <c r="I26" s="14">
        <f t="shared" si="1"/>
        <v>6.3291831984253122</v>
      </c>
      <c r="J26" s="14">
        <f t="shared" si="2"/>
        <v>6.3291831984253122</v>
      </c>
      <c r="K26" s="14">
        <f t="shared" si="3"/>
        <v>6.3291831984253122</v>
      </c>
      <c r="L26" s="14">
        <f t="shared" si="4"/>
        <v>6.3291831984253122</v>
      </c>
      <c r="M26" s="14">
        <f t="shared" si="5"/>
        <v>6.3291831984253122</v>
      </c>
      <c r="N26" s="14">
        <f t="shared" si="6"/>
        <v>6.3291831984253122</v>
      </c>
      <c r="O26" s="15">
        <f t="shared" si="7"/>
        <v>6.3291831984253122</v>
      </c>
      <c r="P26" s="23">
        <f t="shared" si="8"/>
        <v>32.45734973551442</v>
      </c>
      <c r="Q26" s="19">
        <f t="shared" si="9"/>
        <v>32.45734973551442</v>
      </c>
      <c r="R26" s="19">
        <f t="shared" si="10"/>
        <v>32.45734973551442</v>
      </c>
      <c r="S26" s="19">
        <f t="shared" si="11"/>
        <v>32.45734973551442</v>
      </c>
      <c r="T26" s="19">
        <f t="shared" si="12"/>
        <v>32.45734973551442</v>
      </c>
      <c r="U26" s="19">
        <f t="shared" si="13"/>
        <v>32.45734973551442</v>
      </c>
      <c r="V26" s="19">
        <f t="shared" si="14"/>
        <v>32.45734973551442</v>
      </c>
      <c r="W26" s="24">
        <f t="shared" si="15"/>
        <v>32.45734973551442</v>
      </c>
    </row>
    <row r="27" spans="2:23" x14ac:dyDescent="0.25">
      <c r="B27" s="4">
        <v>9</v>
      </c>
      <c r="C27" s="5" t="s">
        <v>32</v>
      </c>
      <c r="D27" s="5"/>
      <c r="E27" s="5"/>
      <c r="F27" s="5"/>
      <c r="G27" s="6"/>
      <c r="H27" s="13">
        <f t="shared" si="0"/>
        <v>736.7705062920204</v>
      </c>
      <c r="I27" s="14">
        <f t="shared" si="1"/>
        <v>736.7705062920204</v>
      </c>
      <c r="J27" s="14">
        <f t="shared" si="2"/>
        <v>736.7705062920204</v>
      </c>
      <c r="K27" s="14">
        <f t="shared" si="3"/>
        <v>736.7705062920204</v>
      </c>
      <c r="L27" s="14">
        <f t="shared" si="4"/>
        <v>736.7705062920204</v>
      </c>
      <c r="M27" s="14">
        <f t="shared" si="5"/>
        <v>736.7705062920204</v>
      </c>
      <c r="N27" s="14">
        <f t="shared" si="6"/>
        <v>736.7705062920204</v>
      </c>
      <c r="O27" s="15">
        <f t="shared" si="7"/>
        <v>736.7705062920204</v>
      </c>
      <c r="P27" s="23">
        <f t="shared" si="8"/>
        <v>3778.3102886770275</v>
      </c>
      <c r="Q27" s="19">
        <f t="shared" si="9"/>
        <v>3778.3102886770275</v>
      </c>
      <c r="R27" s="19">
        <f t="shared" si="10"/>
        <v>3778.3102886770275</v>
      </c>
      <c r="S27" s="19">
        <f t="shared" si="11"/>
        <v>3778.3102886770275</v>
      </c>
      <c r="T27" s="19">
        <f t="shared" si="12"/>
        <v>3778.3102886770275</v>
      </c>
      <c r="U27" s="19">
        <f t="shared" si="13"/>
        <v>3778.3102886770275</v>
      </c>
      <c r="V27" s="19">
        <f t="shared" si="14"/>
        <v>3778.3102886770275</v>
      </c>
      <c r="W27" s="24">
        <f t="shared" si="15"/>
        <v>3778.3102886770275</v>
      </c>
    </row>
    <row r="28" spans="2:23" x14ac:dyDescent="0.25">
      <c r="B28" s="7">
        <v>10</v>
      </c>
      <c r="C28" s="8" t="s">
        <v>33</v>
      </c>
      <c r="D28" s="8"/>
      <c r="E28" s="8"/>
      <c r="F28" s="8"/>
      <c r="G28" s="9"/>
      <c r="H28" s="16">
        <f t="shared" si="0"/>
        <v>5728.992254760683</v>
      </c>
      <c r="I28" s="17">
        <f t="shared" si="1"/>
        <v>5997.1766524516006</v>
      </c>
      <c r="J28" s="17">
        <f t="shared" si="2"/>
        <v>3171.912467853052</v>
      </c>
      <c r="K28" s="17">
        <f t="shared" si="3"/>
        <v>5501.4488882414071</v>
      </c>
      <c r="L28" s="17">
        <f t="shared" si="4"/>
        <v>5728.992254760683</v>
      </c>
      <c r="M28" s="17">
        <f t="shared" si="5"/>
        <v>5997.1766524516006</v>
      </c>
      <c r="N28" s="17">
        <f t="shared" si="6"/>
        <v>3171.912467853052</v>
      </c>
      <c r="O28" s="18">
        <f t="shared" si="7"/>
        <v>5501.4488882414071</v>
      </c>
      <c r="P28" s="25">
        <f t="shared" si="8"/>
        <v>29379.447460311192</v>
      </c>
      <c r="Q28" s="26">
        <f t="shared" si="9"/>
        <v>30754.752063854361</v>
      </c>
      <c r="R28" s="26">
        <f t="shared" si="10"/>
        <v>16266.217783861804</v>
      </c>
      <c r="S28" s="26">
        <f t="shared" si="11"/>
        <v>28212.558401237984</v>
      </c>
      <c r="T28" s="26">
        <f t="shared" si="12"/>
        <v>29379.447460311192</v>
      </c>
      <c r="U28" s="26">
        <f t="shared" si="13"/>
        <v>30754.752063854361</v>
      </c>
      <c r="V28" s="26">
        <f t="shared" si="14"/>
        <v>16266.217783861804</v>
      </c>
      <c r="W28" s="27">
        <f t="shared" si="15"/>
        <v>28212.558401237984</v>
      </c>
    </row>
    <row r="29" spans="2:23" ht="15.75" thickBot="1" x14ac:dyDescent="0.3"/>
    <row r="30" spans="2:23" ht="15" customHeight="1" thickBot="1" x14ac:dyDescent="0.3">
      <c r="I30" s="62" t="s">
        <v>92</v>
      </c>
      <c r="J30" s="63"/>
      <c r="K30" s="58">
        <f>MAX(H6:O15)</f>
        <v>29014.890390577664</v>
      </c>
      <c r="L30" s="59" t="s">
        <v>53</v>
      </c>
      <c r="P30" s="69" t="s">
        <v>91</v>
      </c>
      <c r="Q30" s="70"/>
      <c r="R30" s="51">
        <f>MAX(P19:W28)</f>
        <v>30754.752063854361</v>
      </c>
      <c r="S30" s="52" t="s">
        <v>53</v>
      </c>
    </row>
    <row r="31" spans="2:23" ht="15.75" thickBot="1" x14ac:dyDescent="0.3">
      <c r="C31" s="62" t="s">
        <v>35</v>
      </c>
      <c r="D31" s="63"/>
      <c r="E31" s="79"/>
      <c r="I31" s="64" t="s">
        <v>93</v>
      </c>
      <c r="J31" s="65"/>
      <c r="K31" s="60">
        <f>MIN(H6:O15)</f>
        <v>-30857.373641555572</v>
      </c>
      <c r="L31" s="61" t="s">
        <v>53</v>
      </c>
      <c r="P31" s="32"/>
      <c r="Q31" s="32"/>
    </row>
    <row r="32" spans="2:23" x14ac:dyDescent="0.25">
      <c r="C32" s="40" t="s">
        <v>39</v>
      </c>
      <c r="D32" s="2"/>
      <c r="E32" s="41"/>
    </row>
    <row r="33" spans="3:5" x14ac:dyDescent="0.25">
      <c r="C33" s="42" t="s">
        <v>36</v>
      </c>
      <c r="D33" s="5">
        <v>0.39</v>
      </c>
      <c r="E33" s="54" t="s">
        <v>50</v>
      </c>
    </row>
    <row r="34" spans="3:5" x14ac:dyDescent="0.25">
      <c r="C34" s="42" t="s">
        <v>37</v>
      </c>
      <c r="D34" s="5">
        <v>2</v>
      </c>
      <c r="E34" s="54" t="s">
        <v>50</v>
      </c>
    </row>
    <row r="35" spans="3:5" x14ac:dyDescent="0.25">
      <c r="C35" s="44" t="s">
        <v>52</v>
      </c>
      <c r="D35" s="8">
        <v>31000</v>
      </c>
      <c r="E35" s="45" t="s">
        <v>53</v>
      </c>
    </row>
    <row r="36" spans="3:5" x14ac:dyDescent="0.25">
      <c r="C36" s="40"/>
      <c r="D36" s="2"/>
      <c r="E36" s="41"/>
    </row>
    <row r="37" spans="3:5" x14ac:dyDescent="0.25">
      <c r="C37" s="71" t="s">
        <v>40</v>
      </c>
      <c r="D37" s="72"/>
      <c r="E37" s="73"/>
    </row>
    <row r="38" spans="3:5" x14ac:dyDescent="0.25">
      <c r="C38" s="42" t="s">
        <v>45</v>
      </c>
      <c r="D38" s="5">
        <v>11.875</v>
      </c>
      <c r="E38" s="43" t="s">
        <v>44</v>
      </c>
    </row>
    <row r="39" spans="3:5" x14ac:dyDescent="0.25">
      <c r="C39" s="42" t="s">
        <v>63</v>
      </c>
      <c r="D39" s="5">
        <v>11.143000000000001</v>
      </c>
      <c r="E39" s="43" t="s">
        <v>44</v>
      </c>
    </row>
    <row r="40" spans="3:5" x14ac:dyDescent="0.25">
      <c r="C40" s="42" t="s">
        <v>60</v>
      </c>
      <c r="D40" s="5">
        <v>1.27</v>
      </c>
      <c r="E40" s="43" t="s">
        <v>44</v>
      </c>
    </row>
    <row r="41" spans="3:5" x14ac:dyDescent="0.25">
      <c r="C41" s="42" t="s">
        <v>47</v>
      </c>
      <c r="D41" s="5">
        <v>30</v>
      </c>
      <c r="E41" s="43" t="s">
        <v>48</v>
      </c>
    </row>
    <row r="42" spans="3:5" x14ac:dyDescent="0.25">
      <c r="C42" s="42" t="s">
        <v>56</v>
      </c>
      <c r="D42" s="28">
        <v>0.12</v>
      </c>
      <c r="E42" s="43"/>
    </row>
    <row r="43" spans="3:5" x14ac:dyDescent="0.25">
      <c r="C43" s="44"/>
      <c r="D43" s="8"/>
      <c r="E43" s="45"/>
    </row>
    <row r="44" spans="3:5" x14ac:dyDescent="0.25">
      <c r="C44" s="71" t="s">
        <v>41</v>
      </c>
      <c r="D44" s="72"/>
      <c r="E44" s="73"/>
    </row>
    <row r="45" spans="3:5" x14ac:dyDescent="0.25">
      <c r="C45" s="42" t="s">
        <v>42</v>
      </c>
      <c r="D45" s="5">
        <f>11.049*2</f>
        <v>22.097999999999999</v>
      </c>
      <c r="E45" s="43" t="s">
        <v>44</v>
      </c>
    </row>
    <row r="46" spans="3:5" x14ac:dyDescent="0.25">
      <c r="C46" s="42" t="s">
        <v>43</v>
      </c>
      <c r="D46" s="5">
        <f>6.85*2</f>
        <v>13.7</v>
      </c>
      <c r="E46" s="43" t="s">
        <v>44</v>
      </c>
    </row>
    <row r="47" spans="3:5" x14ac:dyDescent="0.25">
      <c r="C47" s="42" t="s">
        <v>49</v>
      </c>
      <c r="D47" s="5">
        <v>0.12</v>
      </c>
      <c r="E47" s="54" t="s">
        <v>50</v>
      </c>
    </row>
    <row r="48" spans="3:5" x14ac:dyDescent="0.25">
      <c r="C48" s="44" t="s">
        <v>46</v>
      </c>
      <c r="D48" s="8">
        <f>(D45+D46)/2</f>
        <v>17.899000000000001</v>
      </c>
      <c r="E48" s="45" t="s">
        <v>44</v>
      </c>
    </row>
    <row r="49" spans="3:6" x14ac:dyDescent="0.25">
      <c r="C49" s="42"/>
      <c r="D49" s="5"/>
      <c r="E49" s="43"/>
    </row>
    <row r="50" spans="3:6" x14ac:dyDescent="0.25">
      <c r="C50" s="42" t="s">
        <v>51</v>
      </c>
      <c r="D50" s="55">
        <f>D35/2*(1.27/PI()+D38*D42/COS(D41*PI()/180)+D48*D47)</f>
        <v>65062.518250979643</v>
      </c>
      <c r="E50" s="43" t="s">
        <v>54</v>
      </c>
      <c r="F50" t="s">
        <v>102</v>
      </c>
    </row>
    <row r="51" spans="3:6" ht="15.75" thickBot="1" x14ac:dyDescent="0.3">
      <c r="C51" s="56" t="s">
        <v>51</v>
      </c>
      <c r="D51" s="57">
        <f>D50*10^-3</f>
        <v>65.06251825097965</v>
      </c>
      <c r="E51" s="53" t="s">
        <v>55</v>
      </c>
      <c r="F51" t="s">
        <v>102</v>
      </c>
    </row>
    <row r="53" spans="3:6" ht="15.75" thickBot="1" x14ac:dyDescent="0.3"/>
    <row r="54" spans="3:6" s="33" customFormat="1" x14ac:dyDescent="0.25">
      <c r="C54" s="34" t="s">
        <v>78</v>
      </c>
      <c r="D54" s="35"/>
      <c r="E54" s="36"/>
    </row>
    <row r="55" spans="3:6" s="33" customFormat="1" x14ac:dyDescent="0.25">
      <c r="C55" s="37"/>
      <c r="D55" s="38"/>
      <c r="E55" s="39"/>
    </row>
    <row r="56" spans="3:6" x14ac:dyDescent="0.25">
      <c r="C56" s="40" t="s">
        <v>74</v>
      </c>
      <c r="D56" s="2">
        <v>15.875</v>
      </c>
      <c r="E56" s="41" t="s">
        <v>44</v>
      </c>
    </row>
    <row r="57" spans="3:6" x14ac:dyDescent="0.25">
      <c r="C57" s="42" t="s">
        <v>75</v>
      </c>
      <c r="D57" s="5">
        <v>13.5</v>
      </c>
      <c r="E57" s="43" t="s">
        <v>44</v>
      </c>
    </row>
    <row r="58" spans="3:6" x14ac:dyDescent="0.25">
      <c r="C58" s="42" t="s">
        <v>69</v>
      </c>
      <c r="D58" s="5">
        <f>PI()/4*((D56+0.5*D59*TAN(30*PI()/180))^2-D57^2)</f>
        <v>1861.093537036759</v>
      </c>
      <c r="E58" s="43" t="s">
        <v>65</v>
      </c>
    </row>
    <row r="59" spans="3:6" x14ac:dyDescent="0.25">
      <c r="C59" s="42" t="s">
        <v>70</v>
      </c>
      <c r="D59" s="5">
        <v>120</v>
      </c>
      <c r="E59" s="43" t="s">
        <v>44</v>
      </c>
    </row>
    <row r="60" spans="3:6" x14ac:dyDescent="0.25">
      <c r="C60" s="42" t="s">
        <v>71</v>
      </c>
      <c r="D60" s="5">
        <v>70000</v>
      </c>
      <c r="E60" s="43" t="s">
        <v>61</v>
      </c>
    </row>
    <row r="61" spans="3:6" x14ac:dyDescent="0.25">
      <c r="C61" s="44" t="s">
        <v>68</v>
      </c>
      <c r="D61" s="8">
        <f>D59/(D58*D60)</f>
        <v>9.2111743991933219E-7</v>
      </c>
      <c r="E61" s="45" t="s">
        <v>61</v>
      </c>
    </row>
    <row r="62" spans="3:6" x14ac:dyDescent="0.25">
      <c r="C62" s="42"/>
      <c r="D62" s="5"/>
      <c r="E62" s="43"/>
    </row>
    <row r="63" spans="3:6" ht="15.75" thickBot="1" x14ac:dyDescent="0.3">
      <c r="C63" s="46" t="s">
        <v>67</v>
      </c>
      <c r="D63" s="47">
        <f>1/D89*120/D87</f>
        <v>6.0129376374742035E-6</v>
      </c>
      <c r="E63" s="48" t="s">
        <v>61</v>
      </c>
    </row>
    <row r="65" spans="3:17" ht="15.75" thickBot="1" x14ac:dyDescent="0.3"/>
    <row r="66" spans="3:17" x14ac:dyDescent="0.25">
      <c r="C66" s="66" t="s">
        <v>84</v>
      </c>
      <c r="D66" s="67"/>
      <c r="E66" s="68"/>
    </row>
    <row r="67" spans="3:17" x14ac:dyDescent="0.25">
      <c r="C67" s="92"/>
      <c r="D67" s="93"/>
      <c r="E67" s="94"/>
    </row>
    <row r="68" spans="3:17" x14ac:dyDescent="0.25">
      <c r="C68" s="71" t="s">
        <v>81</v>
      </c>
      <c r="D68" s="72"/>
      <c r="E68" s="73"/>
    </row>
    <row r="69" spans="3:17" x14ac:dyDescent="0.25">
      <c r="C69" s="40" t="s">
        <v>57</v>
      </c>
      <c r="D69" s="2">
        <v>4</v>
      </c>
      <c r="E69" s="49" t="s">
        <v>58</v>
      </c>
    </row>
    <row r="70" spans="3:17" x14ac:dyDescent="0.25">
      <c r="C70" s="44" t="s">
        <v>59</v>
      </c>
      <c r="D70" s="8">
        <f>(1-D69/1000)*D35</f>
        <v>30876</v>
      </c>
      <c r="E70" s="45" t="s">
        <v>53</v>
      </c>
    </row>
    <row r="71" spans="3:17" x14ac:dyDescent="0.25">
      <c r="C71" s="42"/>
      <c r="D71" s="5"/>
      <c r="E71" s="43"/>
    </row>
    <row r="72" spans="3:17" x14ac:dyDescent="0.25">
      <c r="C72" s="71" t="s">
        <v>82</v>
      </c>
      <c r="D72" s="72"/>
      <c r="E72" s="73"/>
    </row>
    <row r="73" spans="3:17" x14ac:dyDescent="0.25">
      <c r="C73" s="42" t="s">
        <v>79</v>
      </c>
      <c r="D73" s="5">
        <f>35*10^-6</f>
        <v>3.4999999999999997E-5</v>
      </c>
      <c r="E73" s="43" t="s">
        <v>44</v>
      </c>
    </row>
    <row r="74" spans="3:17" x14ac:dyDescent="0.25">
      <c r="C74" s="44" t="s">
        <v>80</v>
      </c>
      <c r="D74" s="8">
        <f>D73/(D61+D63)</f>
        <v>5.0475514845717466</v>
      </c>
      <c r="E74" s="45" t="s">
        <v>53</v>
      </c>
      <c r="M74" s="76" t="s">
        <v>90</v>
      </c>
      <c r="N74" s="77"/>
      <c r="O74" s="77"/>
      <c r="P74" s="77"/>
      <c r="Q74" s="78"/>
    </row>
    <row r="75" spans="3:17" x14ac:dyDescent="0.25">
      <c r="C75" s="92"/>
      <c r="D75" s="93"/>
      <c r="E75" s="94"/>
      <c r="M75" s="74" t="s">
        <v>72</v>
      </c>
      <c r="N75" s="75"/>
      <c r="O75" s="29" t="s">
        <v>73</v>
      </c>
      <c r="P75" s="30"/>
      <c r="Q75" s="31"/>
    </row>
    <row r="76" spans="3:17" x14ac:dyDescent="0.25">
      <c r="C76" s="71" t="s">
        <v>83</v>
      </c>
      <c r="D76" s="72"/>
      <c r="E76" s="73"/>
      <c r="M76" s="4" t="s">
        <v>86</v>
      </c>
      <c r="N76" s="6" t="s">
        <v>87</v>
      </c>
      <c r="O76" s="4" t="s">
        <v>86</v>
      </c>
      <c r="P76" s="5" t="s">
        <v>87</v>
      </c>
      <c r="Q76" s="6" t="s">
        <v>87</v>
      </c>
    </row>
    <row r="77" spans="3:17" x14ac:dyDescent="0.25">
      <c r="C77" s="42" t="s">
        <v>76</v>
      </c>
      <c r="D77" s="14">
        <f>$K$30*D61/($D$63+$D$61)</f>
        <v>3854.3278439252172</v>
      </c>
      <c r="E77" s="43" t="s">
        <v>53</v>
      </c>
      <c r="M77" s="4" t="s">
        <v>88</v>
      </c>
      <c r="N77" s="6" t="s">
        <v>89</v>
      </c>
      <c r="O77" s="4" t="s">
        <v>88</v>
      </c>
      <c r="P77" s="5" t="s">
        <v>89</v>
      </c>
      <c r="Q77" s="6" t="s">
        <v>89</v>
      </c>
    </row>
    <row r="78" spans="3:17" x14ac:dyDescent="0.25">
      <c r="C78" s="44" t="s">
        <v>77</v>
      </c>
      <c r="D78" s="17">
        <f>$K$30*D63/($D$63+$D$61)</f>
        <v>25160.562546652447</v>
      </c>
      <c r="E78" s="45" t="s">
        <v>53</v>
      </c>
      <c r="M78" s="4">
        <v>0</v>
      </c>
      <c r="N78" s="6">
        <f>M78/$D$63</f>
        <v>0</v>
      </c>
      <c r="O78" s="4">
        <v>0</v>
      </c>
      <c r="P78" s="5">
        <f>-O78/$D$61</f>
        <v>0</v>
      </c>
      <c r="Q78" s="6">
        <f>P79*(-1)</f>
        <v>10856.378966047761</v>
      </c>
    </row>
    <row r="79" spans="3:17" x14ac:dyDescent="0.25">
      <c r="C79" s="92"/>
      <c r="D79" s="93"/>
      <c r="E79" s="94"/>
      <c r="M79" s="7">
        <v>0.01</v>
      </c>
      <c r="N79" s="9">
        <f>M79/$D$63</f>
        <v>1663.080610994097</v>
      </c>
      <c r="O79" s="7">
        <v>0.01</v>
      </c>
      <c r="P79" s="8">
        <f>-O79/$D$61</f>
        <v>-10856.378966047761</v>
      </c>
      <c r="Q79" s="9">
        <v>0</v>
      </c>
    </row>
    <row r="80" spans="3:17" ht="15.75" thickBot="1" x14ac:dyDescent="0.3">
      <c r="C80" s="46" t="s">
        <v>85</v>
      </c>
      <c r="D80" s="50">
        <f>D70-D74-D78</f>
        <v>5710.3899018629818</v>
      </c>
      <c r="E80" s="48" t="s">
        <v>53</v>
      </c>
    </row>
    <row r="82" spans="3:5" ht="15.75" thickBot="1" x14ac:dyDescent="0.3"/>
    <row r="83" spans="3:5" x14ac:dyDescent="0.25">
      <c r="C83" s="66" t="s">
        <v>101</v>
      </c>
      <c r="D83" s="67"/>
      <c r="E83" s="68"/>
    </row>
    <row r="84" spans="3:5" x14ac:dyDescent="0.25">
      <c r="C84" s="83"/>
      <c r="D84" s="84"/>
      <c r="E84" s="85"/>
    </row>
    <row r="85" spans="3:5" x14ac:dyDescent="0.25">
      <c r="C85" s="40" t="s">
        <v>95</v>
      </c>
      <c r="D85" s="2">
        <v>11</v>
      </c>
      <c r="E85" s="41" t="s">
        <v>44</v>
      </c>
    </row>
    <row r="86" spans="3:5" x14ac:dyDescent="0.25">
      <c r="C86" s="42" t="s">
        <v>64</v>
      </c>
      <c r="D86" s="5">
        <f>D39^2/4*PI()</f>
        <v>97.520101000182933</v>
      </c>
      <c r="E86" s="43" t="s">
        <v>65</v>
      </c>
    </row>
    <row r="87" spans="3:5" x14ac:dyDescent="0.25">
      <c r="C87" s="42" t="s">
        <v>94</v>
      </c>
      <c r="D87" s="5">
        <f>D85^2/4*PI()</f>
        <v>95.033177771091246</v>
      </c>
      <c r="E87" s="43" t="s">
        <v>65</v>
      </c>
    </row>
    <row r="88" spans="3:5" x14ac:dyDescent="0.25">
      <c r="C88" s="42" t="s">
        <v>62</v>
      </c>
      <c r="D88" s="5">
        <v>1172</v>
      </c>
      <c r="E88" s="43" t="s">
        <v>61</v>
      </c>
    </row>
    <row r="89" spans="3:5" x14ac:dyDescent="0.25">
      <c r="C89" s="44" t="s">
        <v>100</v>
      </c>
      <c r="D89" s="8">
        <v>210000</v>
      </c>
      <c r="E89" s="45" t="s">
        <v>61</v>
      </c>
    </row>
    <row r="90" spans="3:5" x14ac:dyDescent="0.25">
      <c r="C90" s="86"/>
      <c r="D90" s="87"/>
      <c r="E90" s="88"/>
    </row>
    <row r="91" spans="3:5" x14ac:dyDescent="0.25">
      <c r="C91" s="71" t="s">
        <v>104</v>
      </c>
      <c r="D91" s="72"/>
      <c r="E91" s="73"/>
    </row>
    <row r="92" spans="3:5" x14ac:dyDescent="0.25">
      <c r="C92" s="42" t="s">
        <v>103</v>
      </c>
      <c r="D92" s="55">
        <f>D50</f>
        <v>65062.518250979643</v>
      </c>
      <c r="E92" s="43" t="s">
        <v>54</v>
      </c>
    </row>
    <row r="93" spans="3:5" x14ac:dyDescent="0.25">
      <c r="C93" s="44" t="s">
        <v>99</v>
      </c>
      <c r="D93" s="17">
        <f>D35+D77</f>
        <v>34854.327843925217</v>
      </c>
      <c r="E93" s="45" t="s">
        <v>53</v>
      </c>
    </row>
    <row r="94" spans="3:5" x14ac:dyDescent="0.25">
      <c r="C94" s="89"/>
      <c r="D94" s="90"/>
      <c r="E94" s="91"/>
    </row>
    <row r="95" spans="3:5" x14ac:dyDescent="0.25">
      <c r="C95" s="80" t="s">
        <v>105</v>
      </c>
      <c r="D95" s="81"/>
      <c r="E95" s="82"/>
    </row>
    <row r="96" spans="3:5" x14ac:dyDescent="0.25">
      <c r="C96" s="40" t="s">
        <v>97</v>
      </c>
      <c r="D96" s="2">
        <f>D93/D87</f>
        <v>366.75957451280533</v>
      </c>
      <c r="E96" s="41" t="s">
        <v>61</v>
      </c>
    </row>
    <row r="97" spans="3:5" x14ac:dyDescent="0.25">
      <c r="C97" s="42" t="s">
        <v>98</v>
      </c>
      <c r="D97" s="5">
        <f>D93/D86</f>
        <v>357.40660116686956</v>
      </c>
      <c r="E97" s="43" t="s">
        <v>61</v>
      </c>
    </row>
    <row r="98" spans="3:5" x14ac:dyDescent="0.25">
      <c r="C98" s="42" t="s">
        <v>96</v>
      </c>
      <c r="D98" s="5">
        <f>16*D92/(PI()*D39^3)</f>
        <v>239.49397215221424</v>
      </c>
      <c r="E98" s="43" t="s">
        <v>61</v>
      </c>
    </row>
    <row r="99" spans="3:5" x14ac:dyDescent="0.25">
      <c r="C99" s="44" t="s">
        <v>106</v>
      </c>
      <c r="D99" s="8">
        <f>SQRT(D97^2+3*D98^2)</f>
        <v>547.55051515763409</v>
      </c>
      <c r="E99" s="45" t="s">
        <v>61</v>
      </c>
    </row>
    <row r="100" spans="3:5" x14ac:dyDescent="0.25">
      <c r="C100" s="86"/>
      <c r="D100" s="87"/>
      <c r="E100" s="88"/>
    </row>
    <row r="101" spans="3:5" x14ac:dyDescent="0.25">
      <c r="C101" s="80" t="s">
        <v>37</v>
      </c>
      <c r="D101" s="81"/>
      <c r="E101" s="82"/>
    </row>
    <row r="102" spans="3:5" ht="15.75" thickBot="1" x14ac:dyDescent="0.3">
      <c r="C102" s="46" t="s">
        <v>66</v>
      </c>
      <c r="D102" s="47">
        <f>D88/D99</f>
        <v>2.1404417812712557</v>
      </c>
      <c r="E102" s="48"/>
    </row>
  </sheetData>
  <mergeCells count="16">
    <mergeCell ref="C91:E91"/>
    <mergeCell ref="C95:E95"/>
    <mergeCell ref="C101:E101"/>
    <mergeCell ref="I30:J30"/>
    <mergeCell ref="I31:J31"/>
    <mergeCell ref="C83:E83"/>
    <mergeCell ref="P30:Q30"/>
    <mergeCell ref="C72:E72"/>
    <mergeCell ref="C76:E76"/>
    <mergeCell ref="M75:N75"/>
    <mergeCell ref="M74:Q74"/>
    <mergeCell ref="C31:E31"/>
    <mergeCell ref="C37:E37"/>
    <mergeCell ref="C44:E44"/>
    <mergeCell ref="C66:E66"/>
    <mergeCell ref="C68:E68"/>
  </mergeCells>
  <conditionalFormatting sqref="P6:W1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:W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Marco.Cova</cp:lastModifiedBy>
  <dcterms:created xsi:type="dcterms:W3CDTF">2020-07-16T12:47:26Z</dcterms:created>
  <dcterms:modified xsi:type="dcterms:W3CDTF">2020-07-21T10:10:39Z</dcterms:modified>
</cp:coreProperties>
</file>