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pe.local\shares\P074\Documents\Design\12 Engine Installation\05 Studs\TighteningTorque\"/>
    </mc:Choice>
  </mc:AlternateContent>
  <xr:revisionPtr revIDLastSave="0" documentId="13_ncr:1_{8CD4B61F-1F6F-46DC-85B8-1EE27793FCD6}" xr6:coauthVersionLast="45" xr6:coauthVersionMax="45" xr10:uidLastSave="{00000000-0000-0000-0000-000000000000}"/>
  <bookViews>
    <workbookView xWindow="-120" yWindow="-120" windowWidth="38640" windowHeight="15840" xr2:uid="{36121CCB-790F-45F9-8C2A-2381086334FE}"/>
  </bookViews>
  <sheets>
    <sheet name="MonocoqueToEngine" sheetId="1" r:id="rId1"/>
    <sheet name="EngineToBellhousing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0" i="1" l="1"/>
  <c r="C27" i="3" l="1"/>
  <c r="C26" i="3"/>
  <c r="C12" i="3"/>
  <c r="C14" i="3" s="1"/>
  <c r="C11" i="3"/>
  <c r="D35" i="2"/>
  <c r="C17" i="3"/>
  <c r="C32" i="3" s="1"/>
  <c r="C42" i="3" s="1"/>
  <c r="D78" i="1"/>
  <c r="Z30" i="2"/>
  <c r="AE28" i="2"/>
  <c r="AD28" i="2"/>
  <c r="AC28" i="2"/>
  <c r="AB28" i="2"/>
  <c r="AA28" i="2"/>
  <c r="Z28" i="2"/>
  <c r="Y28" i="2"/>
  <c r="X28" i="2"/>
  <c r="AE27" i="2"/>
  <c r="AD27" i="2"/>
  <c r="AC27" i="2"/>
  <c r="AB27" i="2"/>
  <c r="AA27" i="2"/>
  <c r="Z27" i="2"/>
  <c r="Y27" i="2"/>
  <c r="X27" i="2"/>
  <c r="AE26" i="2"/>
  <c r="AD26" i="2"/>
  <c r="AC26" i="2"/>
  <c r="AB26" i="2"/>
  <c r="AA26" i="2"/>
  <c r="Z26" i="2"/>
  <c r="Y26" i="2"/>
  <c r="X26" i="2"/>
  <c r="AE25" i="2"/>
  <c r="AD25" i="2"/>
  <c r="AC25" i="2"/>
  <c r="AB25" i="2"/>
  <c r="AA25" i="2"/>
  <c r="Z25" i="2"/>
  <c r="Y25" i="2"/>
  <c r="X25" i="2"/>
  <c r="AE24" i="2"/>
  <c r="AD24" i="2"/>
  <c r="AC24" i="2"/>
  <c r="AB24" i="2"/>
  <c r="AA24" i="2"/>
  <c r="Z24" i="2"/>
  <c r="Y24" i="2"/>
  <c r="X24" i="2"/>
  <c r="AE23" i="2"/>
  <c r="AD23" i="2"/>
  <c r="AC23" i="2"/>
  <c r="AB23" i="2"/>
  <c r="AA23" i="2"/>
  <c r="Z23" i="2"/>
  <c r="Y23" i="2"/>
  <c r="X23" i="2"/>
  <c r="AE22" i="2"/>
  <c r="AD22" i="2"/>
  <c r="AC22" i="2"/>
  <c r="AB22" i="2"/>
  <c r="AA22" i="2"/>
  <c r="Z22" i="2"/>
  <c r="Y22" i="2"/>
  <c r="X22" i="2"/>
  <c r="AE21" i="2"/>
  <c r="AD21" i="2"/>
  <c r="AC21" i="2"/>
  <c r="AB21" i="2"/>
  <c r="AA21" i="2"/>
  <c r="Z21" i="2"/>
  <c r="Y21" i="2"/>
  <c r="X21" i="2"/>
  <c r="AE20" i="2"/>
  <c r="AD20" i="2"/>
  <c r="AC20" i="2"/>
  <c r="AB20" i="2"/>
  <c r="AA20" i="2"/>
  <c r="Z20" i="2"/>
  <c r="Y20" i="2"/>
  <c r="X20" i="2"/>
  <c r="AE19" i="2"/>
  <c r="AD19" i="2"/>
  <c r="AC19" i="2"/>
  <c r="AB19" i="2"/>
  <c r="AA19" i="2"/>
  <c r="Z19" i="2"/>
  <c r="Y19" i="2"/>
  <c r="X19" i="2"/>
  <c r="K30" i="1"/>
  <c r="D130" i="2"/>
  <c r="D111" i="2"/>
  <c r="D118" i="2" s="1"/>
  <c r="D110" i="2"/>
  <c r="D116" i="2" s="1"/>
  <c r="D104" i="2"/>
  <c r="D103" i="2"/>
  <c r="C18" i="3" l="1"/>
  <c r="D58" i="2"/>
  <c r="D78" i="2"/>
  <c r="D74" i="2"/>
  <c r="D70" i="2"/>
  <c r="D89" i="2"/>
  <c r="D86" i="2"/>
  <c r="D71" i="2"/>
  <c r="D64" i="2"/>
  <c r="D65" i="2" s="1"/>
  <c r="D66" i="2" s="1"/>
  <c r="D56" i="2"/>
  <c r="D46" i="2"/>
  <c r="D45" i="2"/>
  <c r="D48" i="2" s="1"/>
  <c r="D50" i="2" s="1"/>
  <c r="D109" i="2" s="1"/>
  <c r="D119" i="2" s="1"/>
  <c r="D120" i="2" s="1"/>
  <c r="D124" i="2" s="1"/>
  <c r="D74" i="1"/>
  <c r="D71" i="1"/>
  <c r="D72" i="1"/>
  <c r="D64" i="1"/>
  <c r="D56" i="1"/>
  <c r="C35" i="3" l="1"/>
  <c r="C38" i="3" s="1"/>
  <c r="C34" i="3"/>
  <c r="C41" i="3" s="1"/>
  <c r="C43" i="3" s="1"/>
  <c r="C47" i="3" s="1"/>
  <c r="C20" i="3"/>
  <c r="D79" i="2"/>
  <c r="D90" i="2" s="1"/>
  <c r="D51" i="2"/>
  <c r="D65" i="1"/>
  <c r="D66" i="1" s="1"/>
  <c r="D129" i="1"/>
  <c r="C33" i="3" l="1"/>
  <c r="C39" i="3" s="1"/>
  <c r="C40" i="3" s="1"/>
  <c r="C46" i="3" s="1"/>
  <c r="C21" i="3"/>
  <c r="D94" i="2"/>
  <c r="D96" i="2" s="1"/>
  <c r="D93" i="2"/>
  <c r="D112" i="2" s="1"/>
  <c r="D115" i="2" s="1"/>
  <c r="D117" i="2" s="1"/>
  <c r="D123" i="2" s="1"/>
  <c r="K30" i="2"/>
  <c r="K31" i="2"/>
  <c r="W28" i="2"/>
  <c r="V28" i="2"/>
  <c r="U28" i="2"/>
  <c r="T28" i="2"/>
  <c r="S28" i="2"/>
  <c r="R28" i="2"/>
  <c r="D135" i="2" s="1"/>
  <c r="D138" i="2" s="1"/>
  <c r="D139" i="2" s="1"/>
  <c r="D142" i="2" s="1"/>
  <c r="Q28" i="2"/>
  <c r="P28" i="2"/>
  <c r="W27" i="2"/>
  <c r="V27" i="2"/>
  <c r="U27" i="2"/>
  <c r="T27" i="2"/>
  <c r="S27" i="2"/>
  <c r="R27" i="2"/>
  <c r="Q27" i="2"/>
  <c r="P27" i="2"/>
  <c r="W26" i="2"/>
  <c r="V26" i="2"/>
  <c r="U26" i="2"/>
  <c r="T26" i="2"/>
  <c r="S26" i="2"/>
  <c r="R26" i="2"/>
  <c r="Q26" i="2"/>
  <c r="P26" i="2"/>
  <c r="W25" i="2"/>
  <c r="V25" i="2"/>
  <c r="U25" i="2"/>
  <c r="T25" i="2"/>
  <c r="S25" i="2"/>
  <c r="R25" i="2"/>
  <c r="Q25" i="2"/>
  <c r="P25" i="2"/>
  <c r="W24" i="2"/>
  <c r="V24" i="2"/>
  <c r="U24" i="2"/>
  <c r="T24" i="2"/>
  <c r="S24" i="2"/>
  <c r="R24" i="2"/>
  <c r="Q24" i="2"/>
  <c r="P24" i="2"/>
  <c r="W23" i="2"/>
  <c r="V23" i="2"/>
  <c r="U23" i="2"/>
  <c r="T23" i="2"/>
  <c r="S23" i="2"/>
  <c r="R23" i="2"/>
  <c r="Q23" i="2"/>
  <c r="P23" i="2"/>
  <c r="W22" i="2"/>
  <c r="V22" i="2"/>
  <c r="U22" i="2"/>
  <c r="T22" i="2"/>
  <c r="S22" i="2"/>
  <c r="R22" i="2"/>
  <c r="Q22" i="2"/>
  <c r="P22" i="2"/>
  <c r="W21" i="2"/>
  <c r="V21" i="2"/>
  <c r="U21" i="2"/>
  <c r="T21" i="2"/>
  <c r="S21" i="2"/>
  <c r="R21" i="2"/>
  <c r="Q21" i="2"/>
  <c r="P21" i="2"/>
  <c r="W20" i="2"/>
  <c r="V20" i="2"/>
  <c r="U20" i="2"/>
  <c r="T20" i="2"/>
  <c r="S20" i="2"/>
  <c r="R20" i="2"/>
  <c r="Q20" i="2"/>
  <c r="P20" i="2"/>
  <c r="W19" i="2"/>
  <c r="V19" i="2"/>
  <c r="U19" i="2"/>
  <c r="T19" i="2"/>
  <c r="S19" i="2"/>
  <c r="R19" i="2"/>
  <c r="Q19" i="2"/>
  <c r="P19" i="2"/>
  <c r="R30" i="2" l="1"/>
  <c r="D102" i="1" l="1"/>
  <c r="D103" i="1"/>
  <c r="D89" i="1"/>
  <c r="K31" i="1"/>
  <c r="D70" i="1" l="1"/>
  <c r="D79" i="1" s="1"/>
  <c r="D93" i="1" s="1"/>
  <c r="D46" i="1"/>
  <c r="D45" i="1"/>
  <c r="P99" i="1" s="1"/>
  <c r="Q98" i="1" s="1"/>
  <c r="H20" i="1"/>
  <c r="I20" i="1"/>
  <c r="J20" i="1"/>
  <c r="K20" i="1"/>
  <c r="L20" i="1"/>
  <c r="M20" i="1"/>
  <c r="N20" i="1"/>
  <c r="O20" i="1"/>
  <c r="H21" i="1"/>
  <c r="I21" i="1"/>
  <c r="J21" i="1"/>
  <c r="K21" i="1"/>
  <c r="L21" i="1"/>
  <c r="M21" i="1"/>
  <c r="N21" i="1"/>
  <c r="O21" i="1"/>
  <c r="H22" i="1"/>
  <c r="I22" i="1"/>
  <c r="J22" i="1"/>
  <c r="K22" i="1"/>
  <c r="L22" i="1"/>
  <c r="M22" i="1"/>
  <c r="N22" i="1"/>
  <c r="O22" i="1"/>
  <c r="H23" i="1"/>
  <c r="I23" i="1"/>
  <c r="J23" i="1"/>
  <c r="K23" i="1"/>
  <c r="L23" i="1"/>
  <c r="M23" i="1"/>
  <c r="N23" i="1"/>
  <c r="O23" i="1"/>
  <c r="H24" i="1"/>
  <c r="I24" i="1"/>
  <c r="J24" i="1"/>
  <c r="K24" i="1"/>
  <c r="L24" i="1"/>
  <c r="M24" i="1"/>
  <c r="N24" i="1"/>
  <c r="O24" i="1"/>
  <c r="H25" i="1"/>
  <c r="I25" i="1"/>
  <c r="J25" i="1"/>
  <c r="K25" i="1"/>
  <c r="L25" i="1"/>
  <c r="M25" i="1"/>
  <c r="N25" i="1"/>
  <c r="O25" i="1"/>
  <c r="H26" i="1"/>
  <c r="I26" i="1"/>
  <c r="J26" i="1"/>
  <c r="K26" i="1"/>
  <c r="L26" i="1"/>
  <c r="M26" i="1"/>
  <c r="N26" i="1"/>
  <c r="O26" i="1"/>
  <c r="H27" i="1"/>
  <c r="I27" i="1"/>
  <c r="J27" i="1"/>
  <c r="K27" i="1"/>
  <c r="L27" i="1"/>
  <c r="M27" i="1"/>
  <c r="N27" i="1"/>
  <c r="O27" i="1"/>
  <c r="H28" i="1"/>
  <c r="I28" i="1"/>
  <c r="J28" i="1"/>
  <c r="K28" i="1"/>
  <c r="L28" i="1"/>
  <c r="M28" i="1"/>
  <c r="N28" i="1"/>
  <c r="O28" i="1"/>
  <c r="I19" i="1"/>
  <c r="J19" i="1"/>
  <c r="K19" i="1"/>
  <c r="L19" i="1"/>
  <c r="M19" i="1"/>
  <c r="N19" i="1"/>
  <c r="O19" i="1"/>
  <c r="H19" i="1"/>
  <c r="U19" i="1" l="1"/>
  <c r="AC19" i="1"/>
  <c r="T24" i="1"/>
  <c r="AB24" i="1"/>
  <c r="T20" i="1"/>
  <c r="AB20" i="1"/>
  <c r="S26" i="1"/>
  <c r="AA26" i="1"/>
  <c r="S23" i="1"/>
  <c r="AA23" i="1"/>
  <c r="S19" i="1"/>
  <c r="AA19" i="1"/>
  <c r="R26" i="1"/>
  <c r="Z26" i="1"/>
  <c r="R22" i="1"/>
  <c r="Z22" i="1"/>
  <c r="R20" i="1"/>
  <c r="Z20" i="1"/>
  <c r="T26" i="1"/>
  <c r="AB26" i="1"/>
  <c r="T28" i="1"/>
  <c r="AB28" i="1"/>
  <c r="T23" i="1"/>
  <c r="AB23" i="1"/>
  <c r="S22" i="1"/>
  <c r="AA22" i="1"/>
  <c r="Q27" i="1"/>
  <c r="Y27" i="1"/>
  <c r="Q23" i="1"/>
  <c r="Y23" i="1"/>
  <c r="P28" i="1"/>
  <c r="X28" i="1"/>
  <c r="P25" i="1"/>
  <c r="X25" i="1"/>
  <c r="P24" i="1"/>
  <c r="X24" i="1"/>
  <c r="P23" i="1"/>
  <c r="X23" i="1"/>
  <c r="P22" i="1"/>
  <c r="X22" i="1"/>
  <c r="P21" i="1"/>
  <c r="X21" i="1"/>
  <c r="P20" i="1"/>
  <c r="X20" i="1"/>
  <c r="T25" i="1"/>
  <c r="AB25" i="1"/>
  <c r="T21" i="1"/>
  <c r="AB21" i="1"/>
  <c r="S27" i="1"/>
  <c r="AA27" i="1"/>
  <c r="S25" i="1"/>
  <c r="AA25" i="1"/>
  <c r="S21" i="1"/>
  <c r="AA21" i="1"/>
  <c r="R28" i="1"/>
  <c r="D134" i="1" s="1"/>
  <c r="D137" i="1" s="1"/>
  <c r="D138" i="1" s="1"/>
  <c r="Z28" i="1"/>
  <c r="R25" i="1"/>
  <c r="Z25" i="1"/>
  <c r="R21" i="1"/>
  <c r="Z21" i="1"/>
  <c r="Q28" i="1"/>
  <c r="Y28" i="1"/>
  <c r="Q25" i="1"/>
  <c r="Y25" i="1"/>
  <c r="Q22" i="1"/>
  <c r="Y22" i="1"/>
  <c r="Q19" i="1"/>
  <c r="Y19" i="1"/>
  <c r="P27" i="1"/>
  <c r="X27" i="1"/>
  <c r="P19" i="1"/>
  <c r="X19" i="1"/>
  <c r="W28" i="1"/>
  <c r="AE28" i="1"/>
  <c r="W27" i="1"/>
  <c r="AE27" i="1"/>
  <c r="W26" i="1"/>
  <c r="AE26" i="1"/>
  <c r="W25" i="1"/>
  <c r="AE25" i="1"/>
  <c r="W24" i="1"/>
  <c r="AE24" i="1"/>
  <c r="W23" i="1"/>
  <c r="AE23" i="1"/>
  <c r="W22" i="1"/>
  <c r="AE22" i="1"/>
  <c r="W21" i="1"/>
  <c r="AE21" i="1"/>
  <c r="W20" i="1"/>
  <c r="AE20" i="1"/>
  <c r="T22" i="1"/>
  <c r="AB22" i="1"/>
  <c r="S28" i="1"/>
  <c r="AA28" i="1"/>
  <c r="S24" i="1"/>
  <c r="AA24" i="1"/>
  <c r="R27" i="1"/>
  <c r="Z27" i="1"/>
  <c r="R23" i="1"/>
  <c r="Z23" i="1"/>
  <c r="Q26" i="1"/>
  <c r="Y26" i="1"/>
  <c r="Q21" i="1"/>
  <c r="Y21" i="1"/>
  <c r="V28" i="1"/>
  <c r="AD28" i="1"/>
  <c r="V27" i="1"/>
  <c r="AD27" i="1"/>
  <c r="V26" i="1"/>
  <c r="AD26" i="1"/>
  <c r="V25" i="1"/>
  <c r="AD25" i="1"/>
  <c r="V24" i="1"/>
  <c r="AD24" i="1"/>
  <c r="V23" i="1"/>
  <c r="AD23" i="1"/>
  <c r="V22" i="1"/>
  <c r="AD22" i="1"/>
  <c r="V21" i="1"/>
  <c r="AD21" i="1"/>
  <c r="V20" i="1"/>
  <c r="AD20" i="1"/>
  <c r="T27" i="1"/>
  <c r="AB27" i="1"/>
  <c r="T19" i="1"/>
  <c r="AB19" i="1"/>
  <c r="S20" i="1"/>
  <c r="AA20" i="1"/>
  <c r="R24" i="1"/>
  <c r="Z24" i="1"/>
  <c r="R19" i="1"/>
  <c r="Z19" i="1"/>
  <c r="Q24" i="1"/>
  <c r="Y24" i="1"/>
  <c r="Q20" i="1"/>
  <c r="Y20" i="1"/>
  <c r="P26" i="1"/>
  <c r="X26" i="1"/>
  <c r="W19" i="1"/>
  <c r="AE19" i="1"/>
  <c r="V19" i="1"/>
  <c r="AD19" i="1"/>
  <c r="U28" i="1"/>
  <c r="AC28" i="1"/>
  <c r="U27" i="1"/>
  <c r="AC27" i="1"/>
  <c r="U26" i="1"/>
  <c r="AC26" i="1"/>
  <c r="U25" i="1"/>
  <c r="AC25" i="1"/>
  <c r="U24" i="1"/>
  <c r="AC24" i="1"/>
  <c r="U23" i="1"/>
  <c r="AC23" i="1"/>
  <c r="U22" i="1"/>
  <c r="AC22" i="1"/>
  <c r="U21" i="1"/>
  <c r="AC21" i="1"/>
  <c r="U20" i="1"/>
  <c r="AC20" i="1"/>
  <c r="N99" i="1"/>
  <c r="N98" i="1"/>
  <c r="D94" i="1"/>
  <c r="D90" i="1"/>
  <c r="P98" i="1"/>
  <c r="D48" i="1"/>
  <c r="D35" i="1" l="1"/>
  <c r="D50" i="1" s="1"/>
  <c r="Z30" i="1"/>
  <c r="H48" i="1" l="1"/>
  <c r="D109" i="1"/>
  <c r="D115" i="1" s="1"/>
  <c r="D110" i="1"/>
  <c r="D117" i="1" s="1"/>
  <c r="D111" i="1"/>
  <c r="D114" i="1" s="1"/>
  <c r="D86" i="1"/>
  <c r="D96" i="1" s="1"/>
  <c r="D108" i="1"/>
  <c r="D118" i="1" s="1"/>
  <c r="D119" i="1" s="1"/>
  <c r="D123" i="1" s="1"/>
  <c r="D116" i="1" l="1"/>
  <c r="D122" i="1" s="1"/>
  <c r="D51" i="1"/>
  <c r="I48" i="1" s="1"/>
  <c r="D141" i="1"/>
  <c r="I49" i="1" l="1"/>
</calcChain>
</file>

<file path=xl/sharedStrings.xml><?xml version="1.0" encoding="utf-8"?>
<sst xmlns="http://schemas.openxmlformats.org/spreadsheetml/2006/main" count="572" uniqueCount="139">
  <si>
    <t>Engine Front Face - Stud Loads</t>
  </si>
  <si>
    <t>Revision</t>
  </si>
  <si>
    <t>Face centroid</t>
  </si>
  <si>
    <t>Bolt Axial Loads (Fx)</t>
  </si>
  <si>
    <t>Bolt Y Shear Loads (Fy)</t>
  </si>
  <si>
    <t>Bolt Z Shear Loads (Fz)</t>
  </si>
  <si>
    <t>#</t>
  </si>
  <si>
    <t>Case</t>
  </si>
  <si>
    <t>ax</t>
  </si>
  <si>
    <t>ay</t>
  </si>
  <si>
    <t>az</t>
  </si>
  <si>
    <t>Speed</t>
  </si>
  <si>
    <t>L1</t>
  </si>
  <si>
    <t>L2</t>
  </si>
  <si>
    <t>L3</t>
  </si>
  <si>
    <t>L4</t>
  </si>
  <si>
    <t>R1</t>
  </si>
  <si>
    <t>R2</t>
  </si>
  <si>
    <t>R3</t>
  </si>
  <si>
    <t>R4</t>
  </si>
  <si>
    <t>Brake</t>
  </si>
  <si>
    <t>Bump</t>
  </si>
  <si>
    <t>Brake + Bump</t>
  </si>
  <si>
    <t>Lateral</t>
  </si>
  <si>
    <t>Lateral + Bump</t>
  </si>
  <si>
    <t>Lateral + Brake</t>
  </si>
  <si>
    <t>Reverse Brake + Bump</t>
  </si>
  <si>
    <t>Acceleration</t>
  </si>
  <si>
    <t>Acceleration + Bump</t>
  </si>
  <si>
    <t>Single wheel bump RL (manual)</t>
  </si>
  <si>
    <t>Input data</t>
  </si>
  <si>
    <t>Steel-steel friction coefficient</t>
  </si>
  <si>
    <t>SF</t>
  </si>
  <si>
    <t>Required tightening axial load (Fa)</t>
  </si>
  <si>
    <t>Tightening interface</t>
  </si>
  <si>
    <t>Thread data</t>
  </si>
  <si>
    <t>Nut data</t>
  </si>
  <si>
    <t>Outer contact diameter</t>
  </si>
  <si>
    <t>Inner contact diameter</t>
  </si>
  <si>
    <t>mm</t>
  </si>
  <si>
    <t>Nut friction diameter</t>
  </si>
  <si>
    <t>Helix angle</t>
  </si>
  <si>
    <t>°</t>
  </si>
  <si>
    <t>Nut friction coefficient</t>
  </si>
  <si>
    <t>-</t>
  </si>
  <si>
    <t>Tightening torque</t>
  </si>
  <si>
    <t>Required axial load</t>
  </si>
  <si>
    <t>N</t>
  </si>
  <si>
    <t>Nmm</t>
  </si>
  <si>
    <t>Nm</t>
  </si>
  <si>
    <t>Thread friction coefficient</t>
  </si>
  <si>
    <t>Tightening torque uncertainty</t>
  </si>
  <si>
    <t>%</t>
  </si>
  <si>
    <t>Axial load from uncertainty reduction</t>
  </si>
  <si>
    <t>Pitch</t>
  </si>
  <si>
    <t>MPa</t>
  </si>
  <si>
    <t>Yield strength</t>
  </si>
  <si>
    <t>Root diameter</t>
  </si>
  <si>
    <t>Root area</t>
  </si>
  <si>
    <t>mm^2</t>
  </si>
  <si>
    <t>Yield SF</t>
  </si>
  <si>
    <t>Clamped member compliance</t>
  </si>
  <si>
    <t>Clamped member area</t>
  </si>
  <si>
    <t>Screw</t>
  </si>
  <si>
    <t>Clamp</t>
  </si>
  <si>
    <t>Washer external diameter</t>
  </si>
  <si>
    <t>Hole diameter</t>
  </si>
  <si>
    <t>delta C screw</t>
  </si>
  <si>
    <t>delta C clamped members</t>
  </si>
  <si>
    <t>Screw and clamped members compliance</t>
  </si>
  <si>
    <t>Reduction of clamping interference</t>
  </si>
  <si>
    <t>Reduction of clamping force</t>
  </si>
  <si>
    <t>Uncertainty from tightening</t>
  </si>
  <si>
    <t>Reduction of axial force from clamping</t>
  </si>
  <si>
    <t>External load distribution</t>
  </si>
  <si>
    <t>Unscrew verification</t>
  </si>
  <si>
    <t>Resultant clamping force</t>
  </si>
  <si>
    <t>i</t>
  </si>
  <si>
    <t>Force</t>
  </si>
  <si>
    <t>[mm]</t>
  </si>
  <si>
    <t>[N]</t>
  </si>
  <si>
    <t>Working diagram</t>
  </si>
  <si>
    <t>MAX AXIAL LOAD</t>
  </si>
  <si>
    <t>MIN AXIAL LOAD</t>
  </si>
  <si>
    <t>Minimum area</t>
  </si>
  <si>
    <t>Minimum diameter</t>
  </si>
  <si>
    <t>Torsional stress - threaded section</t>
  </si>
  <si>
    <t>Normal stress - threaded section</t>
  </si>
  <si>
    <t>Stud Young modulus</t>
  </si>
  <si>
    <t xml:space="preserve">Stud strenght </t>
  </si>
  <si>
    <t>Belingardi</t>
  </si>
  <si>
    <t>Stud tightening torque</t>
  </si>
  <si>
    <t>Loads</t>
  </si>
  <si>
    <t>Stress</t>
  </si>
  <si>
    <t>Equivalent stress - threaded section (Von Mises)</t>
  </si>
  <si>
    <t>Worst case for loads found to be:</t>
  </si>
  <si>
    <t>Roll balance</t>
  </si>
  <si>
    <t>Brake bias</t>
  </si>
  <si>
    <t>RHF</t>
  </si>
  <si>
    <t>RHR</t>
  </si>
  <si>
    <t>Bolt Shear Loads (Fyz)</t>
  </si>
  <si>
    <t>Resultant Shear Loads (Fyz)</t>
  </si>
  <si>
    <t>Shear area</t>
  </si>
  <si>
    <t>Peak shear load</t>
  </si>
  <si>
    <t>Shear stress</t>
  </si>
  <si>
    <t>Yield SF - operation</t>
  </si>
  <si>
    <t>Yield SF - tightening</t>
  </si>
  <si>
    <t>Peak stud axial load - operation</t>
  </si>
  <si>
    <t>Peak stud axial load - tightening</t>
  </si>
  <si>
    <t>Normal stress - minimum section</t>
  </si>
  <si>
    <t>Equivalent stress - minimum section</t>
  </si>
  <si>
    <t>Washer thickness</t>
  </si>
  <si>
    <t>Top hats diameter</t>
  </si>
  <si>
    <t>Top hats thickness</t>
  </si>
  <si>
    <t>Aluminum clamped member thickness</t>
  </si>
  <si>
    <t>Total clamped members thickness</t>
  </si>
  <si>
    <t>Top hats and washer Young modulus</t>
  </si>
  <si>
    <t>Aluminum clamped member Young modulus</t>
  </si>
  <si>
    <t>Stud compliance</t>
  </si>
  <si>
    <t>Stud shear diameter</t>
  </si>
  <si>
    <t>Stud shear area</t>
  </si>
  <si>
    <t>Stud min section length</t>
  </si>
  <si>
    <t>Stud shear length</t>
  </si>
  <si>
    <t>Stud threaded area</t>
  </si>
  <si>
    <t>Stud threaded length</t>
  </si>
  <si>
    <t>Stud min section area</t>
  </si>
  <si>
    <t>Stud positioning diameter</t>
  </si>
  <si>
    <t>Stud positioning area</t>
  </si>
  <si>
    <t>Stud positioning length</t>
  </si>
  <si>
    <t>Thread torque</t>
  </si>
  <si>
    <t>Torsional stress - minimum section</t>
  </si>
  <si>
    <t>Limit tightening axial load (Fa_lim)</t>
  </si>
  <si>
    <t>Fa_lim</t>
  </si>
  <si>
    <t>mm/N</t>
  </si>
  <si>
    <t>Fa</t>
  </si>
  <si>
    <t>Chosen tightening torque</t>
  </si>
  <si>
    <t>Mean diameter</t>
  </si>
  <si>
    <t>Axial load</t>
  </si>
  <si>
    <t>Peak external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</si>
</sst>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0" fillId="0" borderId="2" xfId="0" applyNumberFormat="1" applyBorder="1"/>
    <xf numFmtId="1" fontId="0" fillId="0" borderId="0" xfId="0" applyNumberFormat="1" applyBorder="1"/>
    <xf numFmtId="1" fontId="0" fillId="0" borderId="7" xfId="0" applyNumberFormat="1" applyBorder="1"/>
    <xf numFmtId="1" fontId="0" fillId="0" borderId="0" xfId="0" applyNumberFormat="1" applyFill="1" applyBorder="1"/>
    <xf numFmtId="1" fontId="0" fillId="0" borderId="2" xfId="0" applyNumberFormat="1" applyFill="1" applyBorder="1"/>
    <xf numFmtId="0" fontId="0" fillId="0" borderId="0" xfId="0" applyFill="1" applyBorder="1"/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1" fillId="0" borderId="0" xfId="0" applyFont="1" applyBorder="1" applyAlignment="1">
      <alignment wrapText="1"/>
    </xf>
    <xf numFmtId="0" fontId="1" fillId="0" borderId="0" xfId="0" applyFont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0" xfId="0" applyFont="1" applyBorder="1"/>
    <xf numFmtId="0" fontId="1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8" xfId="0" quotePrefix="1" applyBorder="1"/>
    <xf numFmtId="1" fontId="0" fillId="0" borderId="22" xfId="0" applyNumberFormat="1" applyBorder="1"/>
    <xf numFmtId="1" fontId="1" fillId="2" borderId="27" xfId="0" applyNumberFormat="1" applyFont="1" applyFill="1" applyBorder="1" applyAlignment="1"/>
    <xf numFmtId="0" fontId="1" fillId="2" borderId="28" xfId="0" applyFont="1" applyFill="1" applyBorder="1" applyAlignment="1"/>
    <xf numFmtId="0" fontId="0" fillId="0" borderId="34" xfId="0" applyBorder="1"/>
    <xf numFmtId="0" fontId="0" fillId="0" borderId="16" xfId="0" quotePrefix="1" applyBorder="1"/>
    <xf numFmtId="2" fontId="0" fillId="0" borderId="0" xfId="0" applyNumberFormat="1" applyBorder="1"/>
    <xf numFmtId="0" fontId="0" fillId="0" borderId="32" xfId="0" applyBorder="1"/>
    <xf numFmtId="2" fontId="0" fillId="0" borderId="33" xfId="0" applyNumberFormat="1" applyBorder="1"/>
    <xf numFmtId="1" fontId="1" fillId="2" borderId="30" xfId="0" applyNumberFormat="1" applyFont="1" applyFill="1" applyBorder="1"/>
    <xf numFmtId="0" fontId="1" fillId="2" borderId="31" xfId="0" applyFont="1" applyFill="1" applyBorder="1"/>
    <xf numFmtId="1" fontId="1" fillId="2" borderId="33" xfId="0" applyNumberFormat="1" applyFont="1" applyFill="1" applyBorder="1"/>
    <xf numFmtId="0" fontId="1" fillId="2" borderId="34" xfId="0" applyFont="1" applyFill="1" applyBorder="1"/>
    <xf numFmtId="0" fontId="0" fillId="3" borderId="1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24" xfId="0" applyFill="1" applyBorder="1"/>
    <xf numFmtId="0" fontId="0" fillId="3" borderId="10" xfId="0" applyFill="1" applyBorder="1"/>
    <xf numFmtId="0" fontId="0" fillId="3" borderId="25" xfId="0" applyFill="1" applyBorder="1"/>
    <xf numFmtId="0" fontId="0" fillId="3" borderId="19" xfId="0" applyFill="1" applyBorder="1"/>
    <xf numFmtId="1" fontId="0" fillId="3" borderId="7" xfId="0" applyNumberFormat="1" applyFill="1" applyBorder="1"/>
    <xf numFmtId="0" fontId="0" fillId="3" borderId="20" xfId="0" applyFill="1" applyBorder="1"/>
    <xf numFmtId="0" fontId="0" fillId="3" borderId="15" xfId="0" applyFill="1" applyBorder="1"/>
    <xf numFmtId="0" fontId="0" fillId="3" borderId="0" xfId="0" applyFill="1" applyBorder="1"/>
    <xf numFmtId="0" fontId="0" fillId="3" borderId="16" xfId="0" applyFill="1" applyBorder="1"/>
    <xf numFmtId="0" fontId="0" fillId="0" borderId="27" xfId="0" applyBorder="1"/>
    <xf numFmtId="0" fontId="0" fillId="0" borderId="28" xfId="0" applyBorder="1"/>
    <xf numFmtId="2" fontId="0" fillId="0" borderId="27" xfId="0" applyNumberFormat="1" applyBorder="1"/>
    <xf numFmtId="0" fontId="1" fillId="0" borderId="26" xfId="0" applyFont="1" applyBorder="1"/>
    <xf numFmtId="0" fontId="1" fillId="0" borderId="27" xfId="0" applyFont="1" applyBorder="1"/>
    <xf numFmtId="0" fontId="1" fillId="0" borderId="0" xfId="0" applyFont="1" applyAlignment="1">
      <alignment horizontal="center"/>
    </xf>
    <xf numFmtId="0" fontId="0" fillId="0" borderId="29" xfId="0" applyBorder="1"/>
    <xf numFmtId="0" fontId="0" fillId="0" borderId="30" xfId="0" applyBorder="1"/>
    <xf numFmtId="1" fontId="0" fillId="0" borderId="17" xfId="0" applyNumberFormat="1" applyBorder="1"/>
    <xf numFmtId="1" fontId="0" fillId="0" borderId="18" xfId="0" applyNumberFormat="1" applyBorder="1"/>
    <xf numFmtId="1" fontId="0" fillId="0" borderId="15" xfId="0" applyNumberFormat="1" applyBorder="1"/>
    <xf numFmtId="1" fontId="0" fillId="0" borderId="16" xfId="0" applyNumberFormat="1" applyBorder="1"/>
    <xf numFmtId="1" fontId="0" fillId="0" borderId="32" xfId="0" applyNumberFormat="1" applyBorder="1"/>
    <xf numFmtId="1" fontId="0" fillId="0" borderId="33" xfId="0" applyNumberFormat="1" applyBorder="1"/>
    <xf numFmtId="1" fontId="0" fillId="0" borderId="34" xfId="0" applyNumberFormat="1" applyBorder="1"/>
    <xf numFmtId="1" fontId="0" fillId="0" borderId="18" xfId="0" applyNumberFormat="1" applyFill="1" applyBorder="1"/>
    <xf numFmtId="1" fontId="0" fillId="0" borderId="16" xfId="0" applyNumberFormat="1" applyFill="1" applyBorder="1"/>
    <xf numFmtId="1" fontId="0" fillId="0" borderId="33" xfId="0" applyNumberFormat="1" applyFill="1" applyBorder="1"/>
    <xf numFmtId="1" fontId="0" fillId="0" borderId="34" xfId="0" applyNumberFormat="1" applyFill="1" applyBorder="1"/>
    <xf numFmtId="1" fontId="0" fillId="0" borderId="17" xfId="0" applyNumberFormat="1" applyFill="1" applyBorder="1"/>
    <xf numFmtId="1" fontId="0" fillId="0" borderId="15" xfId="0" applyNumberFormat="1" applyFill="1" applyBorder="1"/>
    <xf numFmtId="1" fontId="0" fillId="0" borderId="32" xfId="0" applyNumberFormat="1" applyFill="1" applyBorder="1"/>
    <xf numFmtId="0" fontId="0" fillId="0" borderId="33" xfId="0" applyBorder="1"/>
    <xf numFmtId="0" fontId="1" fillId="0" borderId="7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12" xfId="0" applyFont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7" xfId="0" applyFill="1" applyBorder="1"/>
    <xf numFmtId="164" fontId="0" fillId="0" borderId="0" xfId="0" applyNumberFormat="1" applyBorder="1"/>
    <xf numFmtId="0" fontId="0" fillId="0" borderId="2" xfId="0" applyFill="1" applyBorder="1" applyAlignment="1"/>
    <xf numFmtId="2" fontId="0" fillId="0" borderId="2" xfId="0" applyNumberFormat="1" applyBorder="1"/>
    <xf numFmtId="164" fontId="0" fillId="0" borderId="2" xfId="0" applyNumberFormat="1" applyBorder="1"/>
    <xf numFmtId="164" fontId="0" fillId="0" borderId="7" xfId="0" applyNumberFormat="1" applyBorder="1"/>
    <xf numFmtId="0" fontId="0" fillId="0" borderId="17" xfId="0" applyFill="1" applyBorder="1" applyAlignment="1"/>
    <xf numFmtId="0" fontId="0" fillId="0" borderId="18" xfId="0" applyFill="1" applyBorder="1" applyAlignment="1"/>
    <xf numFmtId="0" fontId="0" fillId="0" borderId="0" xfId="0" applyAlignment="1"/>
    <xf numFmtId="0" fontId="0" fillId="0" borderId="15" xfId="0" applyFill="1" applyBorder="1"/>
    <xf numFmtId="0" fontId="0" fillId="0" borderId="16" xfId="0" applyFill="1" applyBorder="1"/>
    <xf numFmtId="0" fontId="0" fillId="0" borderId="33" xfId="0" applyFill="1" applyBorder="1"/>
    <xf numFmtId="0" fontId="3" fillId="0" borderId="15" xfId="0" applyFont="1" applyBorder="1" applyAlignment="1">
      <alignment horizontal="center"/>
    </xf>
    <xf numFmtId="0" fontId="3" fillId="0" borderId="0" xfId="0" applyFont="1" applyBorder="1"/>
    <xf numFmtId="0" fontId="3" fillId="0" borderId="16" xfId="0" applyFont="1" applyBorder="1"/>
    <xf numFmtId="0" fontId="3" fillId="0" borderId="32" xfId="0" applyFont="1" applyBorder="1" applyAlignment="1">
      <alignment horizontal="center"/>
    </xf>
    <xf numFmtId="0" fontId="3" fillId="0" borderId="33" xfId="0" applyFont="1" applyBorder="1"/>
    <xf numFmtId="0" fontId="3" fillId="0" borderId="34" xfId="0" applyFont="1" applyBorder="1"/>
    <xf numFmtId="0" fontId="1" fillId="0" borderId="29" xfId="0" applyFont="1" applyBorder="1"/>
    <xf numFmtId="0" fontId="1" fillId="0" borderId="30" xfId="0" applyFont="1" applyBorder="1"/>
    <xf numFmtId="0" fontId="1" fillId="0" borderId="31" xfId="0" applyFont="1" applyBorder="1"/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26" xfId="0" applyFont="1" applyBorder="1" applyAlignment="1">
      <alignment horizontal="center" wrapText="1"/>
    </xf>
    <xf numFmtId="0" fontId="1" fillId="0" borderId="27" xfId="0" applyFont="1" applyBorder="1" applyAlignment="1">
      <alignment horizontal="center" wrapText="1"/>
    </xf>
    <xf numFmtId="0" fontId="0" fillId="0" borderId="1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MonocoqueToEngine!$M$98:$M$99</c:f>
              <c:numCache>
                <c:formatCode>General</c:formatCode>
                <c:ptCount val="2"/>
                <c:pt idx="0">
                  <c:v>0</c:v>
                </c:pt>
                <c:pt idx="1">
                  <c:v>0.01</c:v>
                </c:pt>
              </c:numCache>
            </c:numRef>
          </c:xVal>
          <c:yVal>
            <c:numRef>
              <c:f>MonocoqueToEngine!$N$98:$N$99</c:f>
              <c:numCache>
                <c:formatCode>General</c:formatCode>
                <c:ptCount val="2"/>
                <c:pt idx="0">
                  <c:v>0</c:v>
                </c:pt>
                <c:pt idx="1">
                  <c:v>1525.9122309219824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59-42E2-8EB0-07F078630E7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MonocoqueToEngine!$O$98:$O$99</c:f>
              <c:numCache>
                <c:formatCode>General</c:formatCode>
                <c:ptCount val="2"/>
                <c:pt idx="0">
                  <c:v>0</c:v>
                </c:pt>
                <c:pt idx="1">
                  <c:v>0.01</c:v>
                </c:pt>
              </c:numCache>
            </c:numRef>
          </c:xVal>
          <c:yVal>
            <c:numRef>
              <c:f>MonocoqueToEngine!$Q$98:$Q$99</c:f>
              <c:numCache>
                <c:formatCode>General</c:formatCode>
                <c:ptCount val="2"/>
                <c:pt idx="0">
                  <c:v>14836.493476646676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59-42E2-8EB0-07F078630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570440"/>
        <c:axId val="450564864"/>
      </c:scatterChart>
      <c:valAx>
        <c:axId val="450570440"/>
        <c:scaling>
          <c:orientation val="minMax"/>
          <c:max val="1.2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564864"/>
        <c:crosses val="autoZero"/>
        <c:crossBetween val="midCat"/>
      </c:valAx>
      <c:valAx>
        <c:axId val="45056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570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230284</xdr:colOff>
      <xdr:row>3</xdr:row>
      <xdr:rowOff>21707</xdr:rowOff>
    </xdr:from>
    <xdr:to>
      <xdr:col>47</xdr:col>
      <xdr:colOff>201706</xdr:colOff>
      <xdr:row>30</xdr:row>
      <xdr:rowOff>12079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F65EEA-5FDC-4D8E-B5F5-4808BB536D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45578" y="593207"/>
          <a:ext cx="9653304" cy="5201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33619</xdr:colOff>
      <xdr:row>30</xdr:row>
      <xdr:rowOff>200100</xdr:rowOff>
    </xdr:from>
    <xdr:to>
      <xdr:col>19</xdr:col>
      <xdr:colOff>526678</xdr:colOff>
      <xdr:row>46</xdr:row>
      <xdr:rowOff>118837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23F091C-18DF-4394-9202-9FABB51EBD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56795" y="5993541"/>
          <a:ext cx="4123765" cy="2977943"/>
        </a:xfrm>
        <a:prstGeom prst="rect">
          <a:avLst/>
        </a:prstGeom>
      </xdr:spPr>
    </xdr:pic>
    <xdr:clientData/>
  </xdr:twoCellAnchor>
  <xdr:twoCellAnchor editAs="oneCell">
    <xdr:from>
      <xdr:col>12</xdr:col>
      <xdr:colOff>560295</xdr:colOff>
      <xdr:row>64</xdr:row>
      <xdr:rowOff>145677</xdr:rowOff>
    </xdr:from>
    <xdr:to>
      <xdr:col>27</xdr:col>
      <xdr:colOff>45435</xdr:colOff>
      <xdr:row>78</xdr:row>
      <xdr:rowOff>69153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315B7DC-1929-4D94-8D92-432C07CE53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578354" y="12449736"/>
          <a:ext cx="8561905" cy="2590476"/>
        </a:xfrm>
        <a:prstGeom prst="rect">
          <a:avLst/>
        </a:prstGeom>
      </xdr:spPr>
    </xdr:pic>
    <xdr:clientData/>
  </xdr:twoCellAnchor>
  <xdr:twoCellAnchor>
    <xdr:from>
      <xdr:col>17</xdr:col>
      <xdr:colOff>319368</xdr:colOff>
      <xdr:row>88</xdr:row>
      <xdr:rowOff>11205</xdr:rowOff>
    </xdr:from>
    <xdr:to>
      <xdr:col>25</xdr:col>
      <xdr:colOff>190500</xdr:colOff>
      <xdr:row>102</xdr:row>
      <xdr:rowOff>66114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99CAE9-18FF-456A-8091-32BAD73B2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20</xdr:col>
      <xdr:colOff>257735</xdr:colOff>
      <xdr:row>31</xdr:row>
      <xdr:rowOff>27294</xdr:rowOff>
    </xdr:from>
    <xdr:to>
      <xdr:col>35</xdr:col>
      <xdr:colOff>17428</xdr:colOff>
      <xdr:row>46</xdr:row>
      <xdr:rowOff>168088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D438491-E707-46DE-9E50-811EA717FD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116735" y="6022441"/>
          <a:ext cx="8836458" cy="2998294"/>
        </a:xfrm>
        <a:prstGeom prst="rect">
          <a:avLst/>
        </a:prstGeom>
      </xdr:spPr>
    </xdr:pic>
    <xdr:clientData/>
  </xdr:twoCellAnchor>
  <xdr:twoCellAnchor editAs="oneCell">
    <xdr:from>
      <xdr:col>12</xdr:col>
      <xdr:colOff>593911</xdr:colOff>
      <xdr:row>47</xdr:row>
      <xdr:rowOff>33618</xdr:rowOff>
    </xdr:from>
    <xdr:to>
      <xdr:col>27</xdr:col>
      <xdr:colOff>343985</xdr:colOff>
      <xdr:row>63</xdr:row>
      <xdr:rowOff>179294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F59DA18-373C-468F-9A67-F0B7D48568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611970" y="9076765"/>
          <a:ext cx="8826839" cy="3216088"/>
        </a:xfrm>
        <a:prstGeom prst="rect">
          <a:avLst/>
        </a:prstGeom>
      </xdr:spPr>
    </xdr:pic>
    <xdr:clientData/>
  </xdr:twoCellAnchor>
  <xdr:twoCellAnchor editAs="oneCell">
    <xdr:from>
      <xdr:col>27</xdr:col>
      <xdr:colOff>493059</xdr:colOff>
      <xdr:row>47</xdr:row>
      <xdr:rowOff>35687</xdr:rowOff>
    </xdr:from>
    <xdr:to>
      <xdr:col>40</xdr:col>
      <xdr:colOff>549089</xdr:colOff>
      <xdr:row>63</xdr:row>
      <xdr:rowOff>79079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C87DDC7-E861-481A-84F1-35E676C4E0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587883" y="9078834"/>
          <a:ext cx="7922559" cy="31138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392205</xdr:colOff>
      <xdr:row>51</xdr:row>
      <xdr:rowOff>168087</xdr:rowOff>
    </xdr:from>
    <xdr:to>
      <xdr:col>24</xdr:col>
      <xdr:colOff>344723</xdr:colOff>
      <xdr:row>72</xdr:row>
      <xdr:rowOff>51620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42F716-F6CA-4231-BBC6-B56C5FED91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95646" y="10018058"/>
          <a:ext cx="7819048" cy="3895238"/>
        </a:xfrm>
        <a:prstGeom prst="rect">
          <a:avLst/>
        </a:prstGeom>
      </xdr:spPr>
    </xdr:pic>
    <xdr:clientData/>
  </xdr:twoCellAnchor>
  <xdr:twoCellAnchor editAs="oneCell">
    <xdr:from>
      <xdr:col>24</xdr:col>
      <xdr:colOff>481853</xdr:colOff>
      <xdr:row>51</xdr:row>
      <xdr:rowOff>156882</xdr:rowOff>
    </xdr:from>
    <xdr:to>
      <xdr:col>35</xdr:col>
      <xdr:colOff>310379</xdr:colOff>
      <xdr:row>73</xdr:row>
      <xdr:rowOff>35770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40500C5-95A3-40BA-88B0-DA11C4A34E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51824" y="10006853"/>
          <a:ext cx="6484820" cy="4081093"/>
        </a:xfrm>
        <a:prstGeom prst="rect">
          <a:avLst/>
        </a:prstGeom>
      </xdr:spPr>
    </xdr:pic>
    <xdr:clientData/>
  </xdr:twoCellAnchor>
  <xdr:twoCellAnchor editAs="oneCell">
    <xdr:from>
      <xdr:col>11</xdr:col>
      <xdr:colOff>414618</xdr:colOff>
      <xdr:row>73</xdr:row>
      <xdr:rowOff>67234</xdr:rowOff>
    </xdr:from>
    <xdr:to>
      <xdr:col>19</xdr:col>
      <xdr:colOff>421763</xdr:colOff>
      <xdr:row>98</xdr:row>
      <xdr:rowOff>50195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582DDAE-B8DB-4801-BCB5-6318A78D3B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18059" y="14119410"/>
          <a:ext cx="4848086" cy="47902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142875</xdr:colOff>
      <xdr:row>1</xdr:row>
      <xdr:rowOff>152400</xdr:rowOff>
    </xdr:from>
    <xdr:to>
      <xdr:col>23</xdr:col>
      <xdr:colOff>213944</xdr:colOff>
      <xdr:row>16</xdr:row>
      <xdr:rowOff>58025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774A5D-F564-4598-8F07-FF2F8E453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48675" y="342900"/>
          <a:ext cx="6776669" cy="2763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C3B8B-50F8-4556-920A-6A3F1E954B65}">
  <dimension ref="B2:AE141"/>
  <sheetViews>
    <sheetView tabSelected="1" topLeftCell="A4" zoomScale="85" zoomScaleNormal="85" workbookViewId="0">
      <selection activeCell="G35" sqref="G35"/>
    </sheetView>
  </sheetViews>
  <sheetFormatPr defaultRowHeight="15" x14ac:dyDescent="0.25"/>
  <cols>
    <col min="3" max="3" width="47.140625" bestFit="1" customWidth="1"/>
    <col min="4" max="4" width="12.28515625" bestFit="1" customWidth="1"/>
    <col min="16" max="16" width="9.140625" customWidth="1"/>
  </cols>
  <sheetData>
    <row r="2" spans="2:31" x14ac:dyDescent="0.25">
      <c r="B2" t="s">
        <v>0</v>
      </c>
      <c r="Q2" t="s">
        <v>1</v>
      </c>
      <c r="R2">
        <v>1</v>
      </c>
    </row>
    <row r="3" spans="2:31" ht="15.75" thickBot="1" x14ac:dyDescent="0.3">
      <c r="B3" t="s">
        <v>2</v>
      </c>
      <c r="D3">
        <v>2000</v>
      </c>
      <c r="E3">
        <v>0</v>
      </c>
      <c r="F3">
        <v>247</v>
      </c>
    </row>
    <row r="4" spans="2:31" ht="15.75" thickBot="1" x14ac:dyDescent="0.3">
      <c r="B4" s="18"/>
      <c r="C4" s="18"/>
      <c r="D4" s="18"/>
      <c r="E4" s="18"/>
      <c r="F4" s="18"/>
      <c r="G4" s="18"/>
      <c r="H4" s="107" t="s">
        <v>3</v>
      </c>
      <c r="I4" s="108"/>
      <c r="J4" s="108"/>
      <c r="K4" s="108"/>
      <c r="L4" s="108"/>
      <c r="M4" s="108"/>
      <c r="N4" s="108"/>
      <c r="O4" s="109"/>
      <c r="P4" s="107" t="s">
        <v>4</v>
      </c>
      <c r="Q4" s="108"/>
      <c r="R4" s="108"/>
      <c r="S4" s="108"/>
      <c r="T4" s="108"/>
      <c r="U4" s="108"/>
      <c r="V4" s="108"/>
      <c r="W4" s="109"/>
      <c r="X4" s="107" t="s">
        <v>5</v>
      </c>
      <c r="Y4" s="108"/>
      <c r="Z4" s="108"/>
      <c r="AA4" s="108"/>
      <c r="AB4" s="108"/>
      <c r="AC4" s="108"/>
      <c r="AD4" s="108"/>
      <c r="AE4" s="109"/>
    </row>
    <row r="5" spans="2:31" x14ac:dyDescent="0.25">
      <c r="B5" s="107" t="s">
        <v>6</v>
      </c>
      <c r="C5" s="108" t="s">
        <v>7</v>
      </c>
      <c r="D5" s="108" t="s">
        <v>8</v>
      </c>
      <c r="E5" s="108" t="s">
        <v>9</v>
      </c>
      <c r="F5" s="108" t="s">
        <v>10</v>
      </c>
      <c r="G5" s="109" t="s">
        <v>11</v>
      </c>
      <c r="H5" s="22" t="s">
        <v>12</v>
      </c>
      <c r="I5" s="23" t="s">
        <v>13</v>
      </c>
      <c r="J5" s="23" t="s">
        <v>14</v>
      </c>
      <c r="K5" s="23" t="s">
        <v>15</v>
      </c>
      <c r="L5" s="23" t="s">
        <v>16</v>
      </c>
      <c r="M5" s="23" t="s">
        <v>17</v>
      </c>
      <c r="N5" s="23" t="s">
        <v>18</v>
      </c>
      <c r="O5" s="24" t="s">
        <v>19</v>
      </c>
      <c r="P5" s="22" t="s">
        <v>12</v>
      </c>
      <c r="Q5" s="23" t="s">
        <v>13</v>
      </c>
      <c r="R5" s="23" t="s">
        <v>14</v>
      </c>
      <c r="S5" s="23" t="s">
        <v>15</v>
      </c>
      <c r="T5" s="23" t="s">
        <v>16</v>
      </c>
      <c r="U5" s="23" t="s">
        <v>17</v>
      </c>
      <c r="V5" s="23" t="s">
        <v>18</v>
      </c>
      <c r="W5" s="24" t="s">
        <v>19</v>
      </c>
      <c r="X5" s="22" t="s">
        <v>12</v>
      </c>
      <c r="Y5" s="23" t="s">
        <v>13</v>
      </c>
      <c r="Z5" s="23" t="s">
        <v>14</v>
      </c>
      <c r="AA5" s="23" t="s">
        <v>15</v>
      </c>
      <c r="AB5" s="23" t="s">
        <v>16</v>
      </c>
      <c r="AC5" s="23" t="s">
        <v>17</v>
      </c>
      <c r="AD5" s="23" t="s">
        <v>18</v>
      </c>
      <c r="AE5" s="24" t="s">
        <v>19</v>
      </c>
    </row>
    <row r="6" spans="2:31" x14ac:dyDescent="0.25">
      <c r="B6" s="25">
        <v>1</v>
      </c>
      <c r="C6" s="1" t="s">
        <v>20</v>
      </c>
      <c r="D6" s="1">
        <v>3.6</v>
      </c>
      <c r="E6" s="1">
        <v>0</v>
      </c>
      <c r="F6" s="1">
        <v>1</v>
      </c>
      <c r="G6" s="26">
        <v>320</v>
      </c>
      <c r="H6" s="67">
        <v>-6686.8118252733611</v>
      </c>
      <c r="I6" s="8">
        <v>-3147.3219521648643</v>
      </c>
      <c r="J6" s="8">
        <v>0</v>
      </c>
      <c r="K6" s="8">
        <v>8159.5517511392609</v>
      </c>
      <c r="L6" s="8">
        <v>-6686.8118252733611</v>
      </c>
      <c r="M6" s="8">
        <v>-3147.3219521648643</v>
      </c>
      <c r="N6" s="8">
        <v>0</v>
      </c>
      <c r="O6" s="68">
        <v>8159.5517511392609</v>
      </c>
      <c r="P6" s="67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68">
        <v>0</v>
      </c>
      <c r="X6" s="67">
        <v>851.64829023157984</v>
      </c>
      <c r="Y6" s="8">
        <v>851.64829023157984</v>
      </c>
      <c r="Z6" s="8">
        <v>851.64829023157984</v>
      </c>
      <c r="AA6" s="8">
        <v>851.64829023157984</v>
      </c>
      <c r="AB6" s="8">
        <v>851.64829023157984</v>
      </c>
      <c r="AC6" s="8">
        <v>851.64829023157984</v>
      </c>
      <c r="AD6" s="8">
        <v>851.64829023157984</v>
      </c>
      <c r="AE6" s="68">
        <v>851.64829023157984</v>
      </c>
    </row>
    <row r="7" spans="2:31" x14ac:dyDescent="0.25">
      <c r="B7" s="27">
        <v>2</v>
      </c>
      <c r="C7" s="3" t="s">
        <v>21</v>
      </c>
      <c r="D7" s="3">
        <v>0</v>
      </c>
      <c r="E7" s="3">
        <v>0</v>
      </c>
      <c r="F7" s="3">
        <v>5</v>
      </c>
      <c r="G7" s="28">
        <v>320</v>
      </c>
      <c r="H7" s="69">
        <v>-26908.373261938741</v>
      </c>
      <c r="I7" s="9">
        <v>-13575.827258300646</v>
      </c>
      <c r="J7" s="9">
        <v>0</v>
      </c>
      <c r="K7" s="9">
        <v>29014.890390577664</v>
      </c>
      <c r="L7" s="9">
        <v>-26908.373261938741</v>
      </c>
      <c r="M7" s="9">
        <v>-13575.827258300646</v>
      </c>
      <c r="N7" s="9">
        <v>0</v>
      </c>
      <c r="O7" s="70">
        <v>29014.890390577664</v>
      </c>
      <c r="P7" s="6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70">
        <v>0</v>
      </c>
      <c r="X7" s="69">
        <v>1126.5547950086498</v>
      </c>
      <c r="Y7" s="9">
        <v>1126.5547950086498</v>
      </c>
      <c r="Z7" s="9">
        <v>1126.5547950086498</v>
      </c>
      <c r="AA7" s="9">
        <v>1126.5547950086498</v>
      </c>
      <c r="AB7" s="9">
        <v>1126.5547950086498</v>
      </c>
      <c r="AC7" s="9">
        <v>1126.5547950086498</v>
      </c>
      <c r="AD7" s="9">
        <v>1126.5547950086498</v>
      </c>
      <c r="AE7" s="70">
        <v>1126.5547950086498</v>
      </c>
    </row>
    <row r="8" spans="2:31" x14ac:dyDescent="0.25">
      <c r="B8" s="27">
        <v>3</v>
      </c>
      <c r="C8" s="3" t="s">
        <v>22</v>
      </c>
      <c r="D8" s="3">
        <v>2.8</v>
      </c>
      <c r="E8" s="3">
        <v>0</v>
      </c>
      <c r="F8" s="3">
        <v>4</v>
      </c>
      <c r="G8" s="28">
        <v>250</v>
      </c>
      <c r="H8" s="69">
        <v>-19234.919684557415</v>
      </c>
      <c r="I8" s="9">
        <v>-9528.3917823668489</v>
      </c>
      <c r="J8" s="9">
        <v>0</v>
      </c>
      <c r="K8" s="9">
        <v>21479.038390411064</v>
      </c>
      <c r="L8" s="9">
        <v>-19234.919684557415</v>
      </c>
      <c r="M8" s="9">
        <v>-9528.3917823668489</v>
      </c>
      <c r="N8" s="9">
        <v>0</v>
      </c>
      <c r="O8" s="70">
        <v>21479.038390411064</v>
      </c>
      <c r="P8" s="6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70">
        <v>0</v>
      </c>
      <c r="X8" s="69">
        <v>1287.2969013242609</v>
      </c>
      <c r="Y8" s="9">
        <v>1287.2969013242609</v>
      </c>
      <c r="Z8" s="9">
        <v>1287.2969013242609</v>
      </c>
      <c r="AA8" s="9">
        <v>1287.2969013242609</v>
      </c>
      <c r="AB8" s="9">
        <v>1287.2969013242609</v>
      </c>
      <c r="AC8" s="9">
        <v>1287.2969013242609</v>
      </c>
      <c r="AD8" s="9">
        <v>1287.2969013242609</v>
      </c>
      <c r="AE8" s="70">
        <v>1287.2969013242609</v>
      </c>
    </row>
    <row r="9" spans="2:31" x14ac:dyDescent="0.25">
      <c r="B9" s="27">
        <v>4</v>
      </c>
      <c r="C9" s="3" t="s">
        <v>23</v>
      </c>
      <c r="D9" s="3">
        <v>0</v>
      </c>
      <c r="E9" s="3">
        <v>3</v>
      </c>
      <c r="F9" s="3">
        <v>1</v>
      </c>
      <c r="G9" s="28">
        <v>320</v>
      </c>
      <c r="H9" s="69">
        <v>-1139.0875535464884</v>
      </c>
      <c r="I9" s="9">
        <v>6151.3386273593233</v>
      </c>
      <c r="J9" s="9">
        <v>0</v>
      </c>
      <c r="K9" s="9">
        <v>15183.276447484061</v>
      </c>
      <c r="L9" s="9">
        <v>-16141.330597928623</v>
      </c>
      <c r="M9" s="9">
        <v>-14869.6646849014</v>
      </c>
      <c r="N9" s="9">
        <v>0</v>
      </c>
      <c r="O9" s="70">
        <v>3449.9361100956503</v>
      </c>
      <c r="P9" s="69">
        <v>-33.48130466000498</v>
      </c>
      <c r="Q9" s="9">
        <v>-314.7831102646096</v>
      </c>
      <c r="R9" s="9">
        <v>-843.20749124381257</v>
      </c>
      <c r="S9" s="9">
        <v>-1213.3996065704255</v>
      </c>
      <c r="T9" s="9">
        <v>-1168.9544517094212</v>
      </c>
      <c r="U9" s="9">
        <v>-887.65264610481654</v>
      </c>
      <c r="V9" s="9">
        <v>-359.22826512561358</v>
      </c>
      <c r="W9" s="70">
        <v>10.963850200999218</v>
      </c>
      <c r="X9" s="69">
        <v>1026.0913996239944</v>
      </c>
      <c r="Y9" s="9">
        <v>1307.3904426008726</v>
      </c>
      <c r="Z9" s="9">
        <v>946.52219585058344</v>
      </c>
      <c r="AA9" s="9">
        <v>873.3125611031561</v>
      </c>
      <c r="AB9" s="9">
        <v>1026.0913996239944</v>
      </c>
      <c r="AC9" s="9">
        <v>1307.3904426008726</v>
      </c>
      <c r="AD9" s="9">
        <v>946.52219585058344</v>
      </c>
      <c r="AE9" s="70">
        <v>873.3125611031561</v>
      </c>
    </row>
    <row r="10" spans="2:31" x14ac:dyDescent="0.25">
      <c r="B10" s="27">
        <v>5</v>
      </c>
      <c r="C10" s="3" t="s">
        <v>24</v>
      </c>
      <c r="D10" s="3">
        <v>0</v>
      </c>
      <c r="E10" s="3">
        <v>2.5</v>
      </c>
      <c r="F10" s="3">
        <v>4</v>
      </c>
      <c r="G10" s="28">
        <v>200</v>
      </c>
      <c r="H10" s="69">
        <v>-13608.310845776574</v>
      </c>
      <c r="I10" s="9">
        <v>-1260.6460413696605</v>
      </c>
      <c r="J10" s="9">
        <v>0</v>
      </c>
      <c r="K10" s="9">
        <v>26302.814688893493</v>
      </c>
      <c r="L10" s="9">
        <v>-26110.180049428342</v>
      </c>
      <c r="M10" s="9">
        <v>-18778.148801586925</v>
      </c>
      <c r="N10" s="9">
        <v>0</v>
      </c>
      <c r="O10" s="70">
        <v>16525.031074403152</v>
      </c>
      <c r="P10" s="69">
        <v>-27.901087216670589</v>
      </c>
      <c r="Q10" s="9">
        <v>-262.31925855384134</v>
      </c>
      <c r="R10" s="9">
        <v>-702.67290936984443</v>
      </c>
      <c r="S10" s="9">
        <v>-1011.1663388086887</v>
      </c>
      <c r="T10" s="9">
        <v>-974.12870975785188</v>
      </c>
      <c r="U10" s="9">
        <v>-739.71053842068113</v>
      </c>
      <c r="V10" s="9">
        <v>-299.35688760467804</v>
      </c>
      <c r="W10" s="70">
        <v>9.1365418341662235</v>
      </c>
      <c r="X10" s="69">
        <v>1434.5667834325018</v>
      </c>
      <c r="Y10" s="9">
        <v>1668.9826525799006</v>
      </c>
      <c r="Z10" s="9">
        <v>1368.2591136213257</v>
      </c>
      <c r="AA10" s="9">
        <v>1307.2510846651362</v>
      </c>
      <c r="AB10" s="9">
        <v>1434.5667834325018</v>
      </c>
      <c r="AC10" s="9">
        <v>1668.9826525799006</v>
      </c>
      <c r="AD10" s="9">
        <v>1368.2591136213257</v>
      </c>
      <c r="AE10" s="70">
        <v>1307.2510846651362</v>
      </c>
    </row>
    <row r="11" spans="2:31" x14ac:dyDescent="0.25">
      <c r="B11" s="27">
        <v>6</v>
      </c>
      <c r="C11" s="3" t="s">
        <v>25</v>
      </c>
      <c r="D11" s="3">
        <v>2.6</v>
      </c>
      <c r="E11" s="3">
        <v>2.5</v>
      </c>
      <c r="F11" s="3">
        <v>1</v>
      </c>
      <c r="G11" s="28">
        <v>320</v>
      </c>
      <c r="H11" s="69">
        <v>-978.48757079864117</v>
      </c>
      <c r="I11" s="9">
        <v>5274.8069066642747</v>
      </c>
      <c r="J11" s="9">
        <v>0</v>
      </c>
      <c r="K11" s="9">
        <v>13369.847593842927</v>
      </c>
      <c r="L11" s="9">
        <v>-13480.356774450411</v>
      </c>
      <c r="M11" s="9">
        <v>-12242.695853552988</v>
      </c>
      <c r="N11" s="9">
        <v>0</v>
      </c>
      <c r="O11" s="70">
        <v>3592.0639793525897</v>
      </c>
      <c r="P11" s="69">
        <v>-27.901087216670589</v>
      </c>
      <c r="Q11" s="9">
        <v>-262.31925855384134</v>
      </c>
      <c r="R11" s="9">
        <v>-702.67290936984443</v>
      </c>
      <c r="S11" s="9">
        <v>-1011.1663388086887</v>
      </c>
      <c r="T11" s="9">
        <v>-974.12870975785188</v>
      </c>
      <c r="U11" s="9">
        <v>-739.71053842068113</v>
      </c>
      <c r="V11" s="9">
        <v>-299.35688760467804</v>
      </c>
      <c r="W11" s="70">
        <v>9.1365418341662235</v>
      </c>
      <c r="X11" s="69">
        <v>1289.6382885044522</v>
      </c>
      <c r="Y11" s="9">
        <v>1524.0541576518513</v>
      </c>
      <c r="Z11" s="9">
        <v>1223.3306186932764</v>
      </c>
      <c r="AA11" s="9">
        <v>1162.3225897370869</v>
      </c>
      <c r="AB11" s="9">
        <v>1289.6382885044522</v>
      </c>
      <c r="AC11" s="9">
        <v>1524.0541576518513</v>
      </c>
      <c r="AD11" s="9">
        <v>1223.3306186932764</v>
      </c>
      <c r="AE11" s="70">
        <v>1162.3225897370869</v>
      </c>
    </row>
    <row r="12" spans="2:31" x14ac:dyDescent="0.25">
      <c r="B12" s="27">
        <v>7</v>
      </c>
      <c r="C12" s="3" t="s">
        <v>26</v>
      </c>
      <c r="D12" s="3">
        <v>-2.5</v>
      </c>
      <c r="E12" s="3">
        <v>0</v>
      </c>
      <c r="F12" s="3">
        <v>5</v>
      </c>
      <c r="G12" s="28">
        <v>0</v>
      </c>
      <c r="H12" s="69">
        <v>-24191.731101129397</v>
      </c>
      <c r="I12" s="9">
        <v>-12362.386590110742</v>
      </c>
      <c r="J12" s="9">
        <v>0</v>
      </c>
      <c r="K12" s="9">
        <v>25426.365228381015</v>
      </c>
      <c r="L12" s="9">
        <v>-24191.731101129397</v>
      </c>
      <c r="M12" s="9">
        <v>-12362.386590110742</v>
      </c>
      <c r="N12" s="9">
        <v>0</v>
      </c>
      <c r="O12" s="70">
        <v>25426.365228381015</v>
      </c>
      <c r="P12" s="6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70">
        <v>0</v>
      </c>
      <c r="X12" s="69">
        <v>636.25387141719739</v>
      </c>
      <c r="Y12" s="9">
        <v>636.25387141719739</v>
      </c>
      <c r="Z12" s="9">
        <v>636.25387141719739</v>
      </c>
      <c r="AA12" s="9">
        <v>636.25387141719739</v>
      </c>
      <c r="AB12" s="9">
        <v>636.25387141719739</v>
      </c>
      <c r="AC12" s="9">
        <v>636.25387141719739</v>
      </c>
      <c r="AD12" s="9">
        <v>636.25387141719739</v>
      </c>
      <c r="AE12" s="70">
        <v>636.25387141719739</v>
      </c>
    </row>
    <row r="13" spans="2:31" x14ac:dyDescent="0.25">
      <c r="B13" s="27">
        <v>8</v>
      </c>
      <c r="C13" s="3" t="s">
        <v>27</v>
      </c>
      <c r="D13" s="3">
        <v>-1.6</v>
      </c>
      <c r="E13" s="3">
        <v>0</v>
      </c>
      <c r="F13" s="3">
        <v>1</v>
      </c>
      <c r="G13" s="28">
        <v>150</v>
      </c>
      <c r="H13" s="69">
        <v>-11163.772415501211</v>
      </c>
      <c r="I13" s="9">
        <v>-6572.0789173259982</v>
      </c>
      <c r="J13" s="9">
        <v>0</v>
      </c>
      <c r="K13" s="9">
        <v>8096.0513300856201</v>
      </c>
      <c r="L13" s="9">
        <v>-11163.772415501211</v>
      </c>
      <c r="M13" s="9">
        <v>-6572.0789173259982</v>
      </c>
      <c r="N13" s="9">
        <v>0</v>
      </c>
      <c r="O13" s="70">
        <v>8096.0513300856201</v>
      </c>
      <c r="P13" s="6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70">
        <v>0</v>
      </c>
      <c r="X13" s="69">
        <v>-6.3291831984253122</v>
      </c>
      <c r="Y13" s="9">
        <v>-6.3291831984253122</v>
      </c>
      <c r="Z13" s="9">
        <v>-6.3291831984253122</v>
      </c>
      <c r="AA13" s="9">
        <v>-6.3291831984253122</v>
      </c>
      <c r="AB13" s="9">
        <v>-6.3291831984253122</v>
      </c>
      <c r="AC13" s="9">
        <v>-6.3291831984253122</v>
      </c>
      <c r="AD13" s="9">
        <v>-6.3291831984253122</v>
      </c>
      <c r="AE13" s="70">
        <v>-6.3291831984253122</v>
      </c>
    </row>
    <row r="14" spans="2:31" x14ac:dyDescent="0.25">
      <c r="B14" s="27">
        <v>9</v>
      </c>
      <c r="C14" s="3" t="s">
        <v>28</v>
      </c>
      <c r="D14" s="3">
        <v>-2</v>
      </c>
      <c r="E14" s="3">
        <v>0</v>
      </c>
      <c r="F14" s="3">
        <v>5</v>
      </c>
      <c r="G14" s="28">
        <v>150</v>
      </c>
      <c r="H14" s="69">
        <v>-30857.373641555572</v>
      </c>
      <c r="I14" s="9">
        <v>-16742.837006723719</v>
      </c>
      <c r="J14" s="9">
        <v>0</v>
      </c>
      <c r="K14" s="9">
        <v>28345.943815396466</v>
      </c>
      <c r="L14" s="9">
        <v>-30857.373641555572</v>
      </c>
      <c r="M14" s="9">
        <v>-16742.837006723719</v>
      </c>
      <c r="N14" s="9">
        <v>0</v>
      </c>
      <c r="O14" s="70">
        <v>28345.943815396466</v>
      </c>
      <c r="P14" s="6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70">
        <v>0</v>
      </c>
      <c r="X14" s="69">
        <v>736.7705062920204</v>
      </c>
      <c r="Y14" s="9">
        <v>736.7705062920204</v>
      </c>
      <c r="Z14" s="9">
        <v>736.7705062920204</v>
      </c>
      <c r="AA14" s="9">
        <v>736.7705062920204</v>
      </c>
      <c r="AB14" s="9">
        <v>736.7705062920204</v>
      </c>
      <c r="AC14" s="9">
        <v>736.7705062920204</v>
      </c>
      <c r="AD14" s="9">
        <v>736.7705062920204</v>
      </c>
      <c r="AE14" s="70">
        <v>736.7705062920204</v>
      </c>
    </row>
    <row r="15" spans="2:31" ht="15.75" thickBot="1" x14ac:dyDescent="0.3">
      <c r="B15" s="41">
        <v>10</v>
      </c>
      <c r="C15" s="81" t="s">
        <v>29</v>
      </c>
      <c r="D15" s="81">
        <v>0</v>
      </c>
      <c r="E15" s="81">
        <v>0</v>
      </c>
      <c r="F15" s="81">
        <v>5</v>
      </c>
      <c r="G15" s="38">
        <v>320</v>
      </c>
      <c r="H15" s="71">
        <v>-26302.812373399964</v>
      </c>
      <c r="I15" s="72">
        <v>-13270.309346193564</v>
      </c>
      <c r="J15" s="72">
        <v>0</v>
      </c>
      <c r="K15" s="72">
        <v>28361.923277525679</v>
      </c>
      <c r="L15" s="72">
        <v>-26302.812373399964</v>
      </c>
      <c r="M15" s="72">
        <v>-13270.309346193564</v>
      </c>
      <c r="N15" s="72">
        <v>0</v>
      </c>
      <c r="O15" s="73">
        <v>28361.923277525679</v>
      </c>
      <c r="P15" s="71">
        <v>-4823.3039939716155</v>
      </c>
      <c r="Q15" s="72">
        <v>-2433.455980375099</v>
      </c>
      <c r="R15" s="72">
        <v>2055.8645005398862</v>
      </c>
      <c r="S15" s="72">
        <v>5200.8954738068296</v>
      </c>
      <c r="T15" s="72">
        <v>4823.3039939716155</v>
      </c>
      <c r="U15" s="72">
        <v>2433.455980375099</v>
      </c>
      <c r="V15" s="72">
        <v>-2055.8645005398862</v>
      </c>
      <c r="W15" s="73">
        <v>-5200.8954738068296</v>
      </c>
      <c r="X15" s="71">
        <v>-3091.454485649976</v>
      </c>
      <c r="Y15" s="72">
        <v>-5481.2790288660963</v>
      </c>
      <c r="Z15" s="72">
        <v>-2415.4605894407641</v>
      </c>
      <c r="AA15" s="72">
        <v>-1793.4955089066298</v>
      </c>
      <c r="AB15" s="72">
        <v>-3091.454485649976</v>
      </c>
      <c r="AC15" s="72">
        <v>-5481.2790288660963</v>
      </c>
      <c r="AD15" s="72">
        <v>-2415.4605894407641</v>
      </c>
      <c r="AE15" s="73">
        <v>-1793.4955089066298</v>
      </c>
    </row>
    <row r="16" spans="2:31" ht="15.75" thickBot="1" x14ac:dyDescent="0.3"/>
    <row r="17" spans="2:31" ht="15.75" thickBot="1" x14ac:dyDescent="0.3">
      <c r="B17" s="18"/>
      <c r="C17" s="18"/>
      <c r="D17" s="18"/>
      <c r="E17" s="18"/>
      <c r="F17" s="18"/>
      <c r="G17" s="18"/>
      <c r="H17" s="110" t="s">
        <v>101</v>
      </c>
      <c r="I17" s="111"/>
      <c r="J17" s="111"/>
      <c r="K17" s="111"/>
      <c r="L17" s="111"/>
      <c r="M17" s="111"/>
      <c r="N17" s="111"/>
      <c r="O17" s="112"/>
      <c r="P17" s="110" t="s">
        <v>33</v>
      </c>
      <c r="Q17" s="111"/>
      <c r="R17" s="111"/>
      <c r="S17" s="111"/>
      <c r="T17" s="111"/>
      <c r="U17" s="111"/>
      <c r="V17" s="111"/>
      <c r="W17" s="112"/>
      <c r="X17" s="110" t="s">
        <v>131</v>
      </c>
      <c r="Y17" s="111"/>
      <c r="Z17" s="111"/>
      <c r="AA17" s="111"/>
      <c r="AB17" s="111"/>
      <c r="AC17" s="111"/>
      <c r="AD17" s="111"/>
      <c r="AE17" s="112"/>
    </row>
    <row r="18" spans="2:31" x14ac:dyDescent="0.25">
      <c r="B18" s="107" t="s">
        <v>6</v>
      </c>
      <c r="C18" s="108" t="s">
        <v>7</v>
      </c>
      <c r="D18" s="108"/>
      <c r="E18" s="108"/>
      <c r="F18" s="108"/>
      <c r="G18" s="109"/>
      <c r="H18" s="22" t="s">
        <v>12</v>
      </c>
      <c r="I18" s="23" t="s">
        <v>13</v>
      </c>
      <c r="J18" s="23" t="s">
        <v>14</v>
      </c>
      <c r="K18" s="23" t="s">
        <v>15</v>
      </c>
      <c r="L18" s="23" t="s">
        <v>16</v>
      </c>
      <c r="M18" s="23" t="s">
        <v>17</v>
      </c>
      <c r="N18" s="23" t="s">
        <v>18</v>
      </c>
      <c r="O18" s="23" t="s">
        <v>19</v>
      </c>
      <c r="P18" s="22" t="s">
        <v>12</v>
      </c>
      <c r="Q18" s="23" t="s">
        <v>13</v>
      </c>
      <c r="R18" s="23" t="s">
        <v>14</v>
      </c>
      <c r="S18" s="23" t="s">
        <v>15</v>
      </c>
      <c r="T18" s="23" t="s">
        <v>16</v>
      </c>
      <c r="U18" s="23" t="s">
        <v>17</v>
      </c>
      <c r="V18" s="23" t="s">
        <v>18</v>
      </c>
      <c r="W18" s="24" t="s">
        <v>19</v>
      </c>
      <c r="X18" s="22" t="s">
        <v>12</v>
      </c>
      <c r="Y18" s="23" t="s">
        <v>13</v>
      </c>
      <c r="Z18" s="23" t="s">
        <v>14</v>
      </c>
      <c r="AA18" s="23" t="s">
        <v>15</v>
      </c>
      <c r="AB18" s="23" t="s">
        <v>16</v>
      </c>
      <c r="AC18" s="23" t="s">
        <v>17</v>
      </c>
      <c r="AD18" s="23" t="s">
        <v>18</v>
      </c>
      <c r="AE18" s="24" t="s">
        <v>19</v>
      </c>
    </row>
    <row r="19" spans="2:31" x14ac:dyDescent="0.25">
      <c r="B19" s="25">
        <v>1</v>
      </c>
      <c r="C19" s="1" t="s">
        <v>20</v>
      </c>
      <c r="D19" s="1"/>
      <c r="E19" s="1"/>
      <c r="F19" s="1"/>
      <c r="G19" s="26"/>
      <c r="H19" s="67">
        <f t="shared" ref="H19:H28" si="0">SQRT(P6^2+X6^2)</f>
        <v>851.64829023157984</v>
      </c>
      <c r="I19" s="8">
        <f t="shared" ref="I19:I28" si="1">SQRT(Q6^2+Y6^2)</f>
        <v>851.64829023157984</v>
      </c>
      <c r="J19" s="8">
        <f t="shared" ref="J19:J28" si="2">SQRT(R6^2+Z6^2)</f>
        <v>851.64829023157984</v>
      </c>
      <c r="K19" s="8">
        <f t="shared" ref="K19:K28" si="3">SQRT(S6^2+AA6^2)</f>
        <v>851.64829023157984</v>
      </c>
      <c r="L19" s="8">
        <f t="shared" ref="L19:L28" si="4">SQRT(T6^2+AB6^2)</f>
        <v>851.64829023157984</v>
      </c>
      <c r="M19" s="8">
        <f t="shared" ref="M19:M28" si="5">SQRT(U6^2+AC6^2)</f>
        <v>851.64829023157984</v>
      </c>
      <c r="N19" s="8">
        <f t="shared" ref="N19:N28" si="6">SQRT(V6^2+AD6^2)</f>
        <v>851.64829023157984</v>
      </c>
      <c r="O19" s="8">
        <f t="shared" ref="O19:O28" si="7">SQRT(W6^2+AE6^2)</f>
        <v>851.64829023157984</v>
      </c>
      <c r="P19" s="78">
        <f t="shared" ref="P19:P28" si="8">H19/$D$33*$D$34</f>
        <v>8516.4829023157981</v>
      </c>
      <c r="Q19" s="12">
        <f t="shared" ref="Q19:Q28" si="9">I19/$D$33*$D$34</f>
        <v>8516.4829023157981</v>
      </c>
      <c r="R19" s="12">
        <f t="shared" ref="R19:R28" si="10">J19/$D$33*$D$34</f>
        <v>8516.4829023157981</v>
      </c>
      <c r="S19" s="12">
        <f t="shared" ref="S19:S28" si="11">K19/$D$33*$D$34</f>
        <v>8516.4829023157981</v>
      </c>
      <c r="T19" s="12">
        <f t="shared" ref="T19:T28" si="12">L19/$D$33*$D$34</f>
        <v>8516.4829023157981</v>
      </c>
      <c r="U19" s="12">
        <f t="shared" ref="U19:U28" si="13">M19/$D$33*$D$34</f>
        <v>8516.4829023157981</v>
      </c>
      <c r="V19" s="12">
        <f t="shared" ref="V19:V28" si="14">N19/$D$33*$D$34</f>
        <v>8516.4829023157981</v>
      </c>
      <c r="W19" s="74">
        <f t="shared" ref="W19:W28" si="15">O19/$D$33*$D$34</f>
        <v>8516.4829023157981</v>
      </c>
      <c r="X19" s="78">
        <f>H19/$D$33</f>
        <v>4258.2414511578991</v>
      </c>
      <c r="Y19" s="12">
        <f t="shared" ref="Y19:AE19" si="16">I19/$D$33</f>
        <v>4258.2414511578991</v>
      </c>
      <c r="Z19" s="12">
        <f t="shared" si="16"/>
        <v>4258.2414511578991</v>
      </c>
      <c r="AA19" s="12">
        <f t="shared" si="16"/>
        <v>4258.2414511578991</v>
      </c>
      <c r="AB19" s="12">
        <f t="shared" si="16"/>
        <v>4258.2414511578991</v>
      </c>
      <c r="AC19" s="12">
        <f t="shared" si="16"/>
        <v>4258.2414511578991</v>
      </c>
      <c r="AD19" s="12">
        <f t="shared" si="16"/>
        <v>4258.2414511578991</v>
      </c>
      <c r="AE19" s="74">
        <f t="shared" si="16"/>
        <v>4258.2414511578991</v>
      </c>
    </row>
    <row r="20" spans="2:31" x14ac:dyDescent="0.25">
      <c r="B20" s="27">
        <v>2</v>
      </c>
      <c r="C20" s="3" t="s">
        <v>21</v>
      </c>
      <c r="D20" s="3"/>
      <c r="E20" s="3"/>
      <c r="F20" s="3"/>
      <c r="G20" s="28"/>
      <c r="H20" s="69">
        <f t="shared" si="0"/>
        <v>1126.5547950086498</v>
      </c>
      <c r="I20" s="9">
        <f t="shared" si="1"/>
        <v>1126.5547950086498</v>
      </c>
      <c r="J20" s="9">
        <f t="shared" si="2"/>
        <v>1126.5547950086498</v>
      </c>
      <c r="K20" s="9">
        <f t="shared" si="3"/>
        <v>1126.5547950086498</v>
      </c>
      <c r="L20" s="9">
        <f t="shared" si="4"/>
        <v>1126.5547950086498</v>
      </c>
      <c r="M20" s="9">
        <f t="shared" si="5"/>
        <v>1126.5547950086498</v>
      </c>
      <c r="N20" s="9">
        <f t="shared" si="6"/>
        <v>1126.5547950086498</v>
      </c>
      <c r="O20" s="9">
        <f t="shared" si="7"/>
        <v>1126.5547950086498</v>
      </c>
      <c r="P20" s="79">
        <f t="shared" si="8"/>
        <v>11265.547950086497</v>
      </c>
      <c r="Q20" s="11">
        <f t="shared" si="9"/>
        <v>11265.547950086497</v>
      </c>
      <c r="R20" s="11">
        <f t="shared" si="10"/>
        <v>11265.547950086497</v>
      </c>
      <c r="S20" s="11">
        <f t="shared" si="11"/>
        <v>11265.547950086497</v>
      </c>
      <c r="T20" s="11">
        <f t="shared" si="12"/>
        <v>11265.547950086497</v>
      </c>
      <c r="U20" s="11">
        <f t="shared" si="13"/>
        <v>11265.547950086497</v>
      </c>
      <c r="V20" s="11">
        <f t="shared" si="14"/>
        <v>11265.547950086497</v>
      </c>
      <c r="W20" s="75">
        <f t="shared" si="15"/>
        <v>11265.547950086497</v>
      </c>
      <c r="X20" s="79">
        <f t="shared" ref="X20:X28" si="17">H20/$D$33</f>
        <v>5632.7739750432484</v>
      </c>
      <c r="Y20" s="11">
        <f t="shared" ref="Y20:Y28" si="18">I20/$D$33</f>
        <v>5632.7739750432484</v>
      </c>
      <c r="Z20" s="11">
        <f t="shared" ref="Z20:Z28" si="19">J20/$D$33</f>
        <v>5632.7739750432484</v>
      </c>
      <c r="AA20" s="11">
        <f t="shared" ref="AA20:AA28" si="20">K20/$D$33</f>
        <v>5632.7739750432484</v>
      </c>
      <c r="AB20" s="11">
        <f t="shared" ref="AB20:AB28" si="21">L20/$D$33</f>
        <v>5632.7739750432484</v>
      </c>
      <c r="AC20" s="11">
        <f t="shared" ref="AC20:AC28" si="22">M20/$D$33</f>
        <v>5632.7739750432484</v>
      </c>
      <c r="AD20" s="11">
        <f t="shared" ref="AD20:AD28" si="23">N20/$D$33</f>
        <v>5632.7739750432484</v>
      </c>
      <c r="AE20" s="75">
        <f t="shared" ref="AE20:AE28" si="24">O20/$D$33</f>
        <v>5632.7739750432484</v>
      </c>
    </row>
    <row r="21" spans="2:31" x14ac:dyDescent="0.25">
      <c r="B21" s="27">
        <v>3</v>
      </c>
      <c r="C21" s="3" t="s">
        <v>22</v>
      </c>
      <c r="D21" s="3"/>
      <c r="E21" s="3"/>
      <c r="F21" s="3"/>
      <c r="G21" s="28"/>
      <c r="H21" s="69">
        <f t="shared" si="0"/>
        <v>1287.2969013242609</v>
      </c>
      <c r="I21" s="9">
        <f t="shared" si="1"/>
        <v>1287.2969013242609</v>
      </c>
      <c r="J21" s="9">
        <f t="shared" si="2"/>
        <v>1287.2969013242609</v>
      </c>
      <c r="K21" s="9">
        <f t="shared" si="3"/>
        <v>1287.2969013242609</v>
      </c>
      <c r="L21" s="9">
        <f t="shared" si="4"/>
        <v>1287.2969013242609</v>
      </c>
      <c r="M21" s="9">
        <f t="shared" si="5"/>
        <v>1287.2969013242609</v>
      </c>
      <c r="N21" s="9">
        <f t="shared" si="6"/>
        <v>1287.2969013242609</v>
      </c>
      <c r="O21" s="9">
        <f t="shared" si="7"/>
        <v>1287.2969013242609</v>
      </c>
      <c r="P21" s="79">
        <f t="shared" si="8"/>
        <v>12872.969013242609</v>
      </c>
      <c r="Q21" s="11">
        <f t="shared" si="9"/>
        <v>12872.969013242609</v>
      </c>
      <c r="R21" s="11">
        <f t="shared" si="10"/>
        <v>12872.969013242609</v>
      </c>
      <c r="S21" s="11">
        <f t="shared" si="11"/>
        <v>12872.969013242609</v>
      </c>
      <c r="T21" s="11">
        <f t="shared" si="12"/>
        <v>12872.969013242609</v>
      </c>
      <c r="U21" s="11">
        <f t="shared" si="13"/>
        <v>12872.969013242609</v>
      </c>
      <c r="V21" s="11">
        <f t="shared" si="14"/>
        <v>12872.969013242609</v>
      </c>
      <c r="W21" s="75">
        <f t="shared" si="15"/>
        <v>12872.969013242609</v>
      </c>
      <c r="X21" s="79">
        <f t="shared" si="17"/>
        <v>6436.4845066213047</v>
      </c>
      <c r="Y21" s="11">
        <f t="shared" si="18"/>
        <v>6436.4845066213047</v>
      </c>
      <c r="Z21" s="11">
        <f t="shared" si="19"/>
        <v>6436.4845066213047</v>
      </c>
      <c r="AA21" s="11">
        <f t="shared" si="20"/>
        <v>6436.4845066213047</v>
      </c>
      <c r="AB21" s="11">
        <f t="shared" si="21"/>
        <v>6436.4845066213047</v>
      </c>
      <c r="AC21" s="11">
        <f t="shared" si="22"/>
        <v>6436.4845066213047</v>
      </c>
      <c r="AD21" s="11">
        <f t="shared" si="23"/>
        <v>6436.4845066213047</v>
      </c>
      <c r="AE21" s="75">
        <f t="shared" si="24"/>
        <v>6436.4845066213047</v>
      </c>
    </row>
    <row r="22" spans="2:31" x14ac:dyDescent="0.25">
      <c r="B22" s="27">
        <v>4</v>
      </c>
      <c r="C22" s="3" t="s">
        <v>23</v>
      </c>
      <c r="D22" s="3"/>
      <c r="E22" s="3"/>
      <c r="F22" s="3"/>
      <c r="G22" s="28"/>
      <c r="H22" s="69">
        <f t="shared" si="0"/>
        <v>1026.6375008463619</v>
      </c>
      <c r="I22" s="9">
        <f t="shared" si="1"/>
        <v>1344.7520871565757</v>
      </c>
      <c r="J22" s="9">
        <f t="shared" si="2"/>
        <v>1267.6368330588593</v>
      </c>
      <c r="K22" s="9">
        <f t="shared" si="3"/>
        <v>1494.9961319701858</v>
      </c>
      <c r="L22" s="9">
        <f t="shared" si="4"/>
        <v>1555.4157227421874</v>
      </c>
      <c r="M22" s="9">
        <f t="shared" si="5"/>
        <v>1580.252191753262</v>
      </c>
      <c r="N22" s="9">
        <f t="shared" si="6"/>
        <v>1012.3977546907976</v>
      </c>
      <c r="O22" s="9">
        <f t="shared" si="7"/>
        <v>873.38138026396223</v>
      </c>
      <c r="P22" s="79">
        <f t="shared" si="8"/>
        <v>10266.375008463619</v>
      </c>
      <c r="Q22" s="11">
        <f t="shared" si="9"/>
        <v>13447.520871565757</v>
      </c>
      <c r="R22" s="11">
        <f t="shared" si="10"/>
        <v>12676.368330588593</v>
      </c>
      <c r="S22" s="11">
        <f t="shared" si="11"/>
        <v>14949.961319701857</v>
      </c>
      <c r="T22" s="11">
        <f t="shared" si="12"/>
        <v>15554.157227421874</v>
      </c>
      <c r="U22" s="11">
        <f t="shared" si="13"/>
        <v>15802.521917532618</v>
      </c>
      <c r="V22" s="11">
        <f t="shared" si="14"/>
        <v>10123.977546907976</v>
      </c>
      <c r="W22" s="75">
        <f t="shared" si="15"/>
        <v>8733.8138026396209</v>
      </c>
      <c r="X22" s="79">
        <f t="shared" si="17"/>
        <v>5133.1875042318097</v>
      </c>
      <c r="Y22" s="11">
        <f t="shared" si="18"/>
        <v>6723.7604357828786</v>
      </c>
      <c r="Z22" s="11">
        <f t="shared" si="19"/>
        <v>6338.1841652942967</v>
      </c>
      <c r="AA22" s="11">
        <f t="shared" si="20"/>
        <v>7474.9806598509285</v>
      </c>
      <c r="AB22" s="11">
        <f t="shared" si="21"/>
        <v>7777.0786137109371</v>
      </c>
      <c r="AC22" s="11">
        <f t="shared" si="22"/>
        <v>7901.2609587663092</v>
      </c>
      <c r="AD22" s="11">
        <f t="shared" si="23"/>
        <v>5061.988773453988</v>
      </c>
      <c r="AE22" s="75">
        <f t="shared" si="24"/>
        <v>4366.9069013198105</v>
      </c>
    </row>
    <row r="23" spans="2:31" x14ac:dyDescent="0.25">
      <c r="B23" s="27">
        <v>5</v>
      </c>
      <c r="C23" s="3" t="s">
        <v>24</v>
      </c>
      <c r="D23" s="3"/>
      <c r="E23" s="3"/>
      <c r="F23" s="3"/>
      <c r="G23" s="28"/>
      <c r="H23" s="69">
        <f t="shared" si="0"/>
        <v>1434.8380838254004</v>
      </c>
      <c r="I23" s="9">
        <f t="shared" si="1"/>
        <v>1689.471659431101</v>
      </c>
      <c r="J23" s="9">
        <f t="shared" si="2"/>
        <v>1538.1424575019369</v>
      </c>
      <c r="K23" s="9">
        <f t="shared" si="3"/>
        <v>1652.6835036079783</v>
      </c>
      <c r="L23" s="9">
        <f t="shared" si="4"/>
        <v>1734.0440015473575</v>
      </c>
      <c r="M23" s="9">
        <f t="shared" si="5"/>
        <v>1825.5614958864726</v>
      </c>
      <c r="N23" s="9">
        <f t="shared" si="6"/>
        <v>1400.6239852880485</v>
      </c>
      <c r="O23" s="9">
        <f t="shared" si="7"/>
        <v>1307.2830124937991</v>
      </c>
      <c r="P23" s="79">
        <f t="shared" si="8"/>
        <v>14348.380838254003</v>
      </c>
      <c r="Q23" s="11">
        <f t="shared" si="9"/>
        <v>16894.716594311009</v>
      </c>
      <c r="R23" s="11">
        <f t="shared" si="10"/>
        <v>15381.424575019368</v>
      </c>
      <c r="S23" s="11">
        <f t="shared" si="11"/>
        <v>16526.835036079781</v>
      </c>
      <c r="T23" s="11">
        <f t="shared" si="12"/>
        <v>17340.440015473574</v>
      </c>
      <c r="U23" s="11">
        <f t="shared" si="13"/>
        <v>18255.614958864724</v>
      </c>
      <c r="V23" s="11">
        <f t="shared" si="14"/>
        <v>14006.239852880484</v>
      </c>
      <c r="W23" s="75">
        <f t="shared" si="15"/>
        <v>13072.830124937991</v>
      </c>
      <c r="X23" s="79">
        <f t="shared" si="17"/>
        <v>7174.1904191270014</v>
      </c>
      <c r="Y23" s="11">
        <f t="shared" si="18"/>
        <v>8447.3582971555043</v>
      </c>
      <c r="Z23" s="11">
        <f t="shared" si="19"/>
        <v>7690.7122875096838</v>
      </c>
      <c r="AA23" s="11">
        <f t="shared" si="20"/>
        <v>8263.4175180398906</v>
      </c>
      <c r="AB23" s="11">
        <f t="shared" si="21"/>
        <v>8670.220007736787</v>
      </c>
      <c r="AC23" s="11">
        <f t="shared" si="22"/>
        <v>9127.807479432362</v>
      </c>
      <c r="AD23" s="11">
        <f t="shared" si="23"/>
        <v>7003.1199264402421</v>
      </c>
      <c r="AE23" s="75">
        <f t="shared" si="24"/>
        <v>6536.4150624689955</v>
      </c>
    </row>
    <row r="24" spans="2:31" x14ac:dyDescent="0.25">
      <c r="B24" s="27">
        <v>6</v>
      </c>
      <c r="C24" s="3" t="s">
        <v>25</v>
      </c>
      <c r="D24" s="3"/>
      <c r="E24" s="3"/>
      <c r="F24" s="3"/>
      <c r="G24" s="28"/>
      <c r="H24" s="69">
        <f t="shared" si="0"/>
        <v>1289.9400706407121</v>
      </c>
      <c r="I24" s="9">
        <f t="shared" si="1"/>
        <v>1546.4645061766309</v>
      </c>
      <c r="J24" s="9">
        <f t="shared" si="2"/>
        <v>1410.7753259093936</v>
      </c>
      <c r="K24" s="9">
        <f t="shared" si="3"/>
        <v>1540.6009111229605</v>
      </c>
      <c r="L24" s="9">
        <f t="shared" si="4"/>
        <v>1616.1972832396391</v>
      </c>
      <c r="M24" s="9">
        <f t="shared" si="5"/>
        <v>1694.0816851930451</v>
      </c>
      <c r="N24" s="9">
        <f t="shared" si="6"/>
        <v>1259.4254042176672</v>
      </c>
      <c r="O24" s="9">
        <f t="shared" si="7"/>
        <v>1162.3584984890917</v>
      </c>
      <c r="P24" s="79">
        <f t="shared" si="8"/>
        <v>12899.400706407119</v>
      </c>
      <c r="Q24" s="11">
        <f t="shared" si="9"/>
        <v>15464.645061766309</v>
      </c>
      <c r="R24" s="11">
        <f t="shared" si="10"/>
        <v>14107.753259093935</v>
      </c>
      <c r="S24" s="11">
        <f t="shared" si="11"/>
        <v>15406.009111229605</v>
      </c>
      <c r="T24" s="11">
        <f t="shared" si="12"/>
        <v>16161.97283239639</v>
      </c>
      <c r="U24" s="11">
        <f t="shared" si="13"/>
        <v>16940.816851930449</v>
      </c>
      <c r="V24" s="11">
        <f t="shared" si="14"/>
        <v>12594.254042176672</v>
      </c>
      <c r="W24" s="75">
        <f t="shared" si="15"/>
        <v>11623.584984890917</v>
      </c>
      <c r="X24" s="79">
        <f t="shared" si="17"/>
        <v>6449.7003532035596</v>
      </c>
      <c r="Y24" s="11">
        <f t="shared" si="18"/>
        <v>7732.3225308831543</v>
      </c>
      <c r="Z24" s="11">
        <f t="shared" si="19"/>
        <v>7053.8766295469677</v>
      </c>
      <c r="AA24" s="11">
        <f t="shared" si="20"/>
        <v>7703.0045556148025</v>
      </c>
      <c r="AB24" s="11">
        <f t="shared" si="21"/>
        <v>8080.986416198195</v>
      </c>
      <c r="AC24" s="11">
        <f t="shared" si="22"/>
        <v>8470.4084259652245</v>
      </c>
      <c r="AD24" s="11">
        <f t="shared" si="23"/>
        <v>6297.1270210883358</v>
      </c>
      <c r="AE24" s="75">
        <f t="shared" si="24"/>
        <v>5811.7924924454583</v>
      </c>
    </row>
    <row r="25" spans="2:31" x14ac:dyDescent="0.25">
      <c r="B25" s="27">
        <v>7</v>
      </c>
      <c r="C25" s="3" t="s">
        <v>26</v>
      </c>
      <c r="D25" s="3"/>
      <c r="E25" s="3"/>
      <c r="F25" s="3"/>
      <c r="G25" s="28"/>
      <c r="H25" s="69">
        <f t="shared" si="0"/>
        <v>636.25387141719739</v>
      </c>
      <c r="I25" s="9">
        <f t="shared" si="1"/>
        <v>636.25387141719739</v>
      </c>
      <c r="J25" s="9">
        <f t="shared" si="2"/>
        <v>636.25387141719739</v>
      </c>
      <c r="K25" s="9">
        <f t="shared" si="3"/>
        <v>636.25387141719739</v>
      </c>
      <c r="L25" s="9">
        <f t="shared" si="4"/>
        <v>636.25387141719739</v>
      </c>
      <c r="M25" s="9">
        <f t="shared" si="5"/>
        <v>636.25387141719739</v>
      </c>
      <c r="N25" s="9">
        <f t="shared" si="6"/>
        <v>636.25387141719739</v>
      </c>
      <c r="O25" s="9">
        <f t="shared" si="7"/>
        <v>636.25387141719739</v>
      </c>
      <c r="P25" s="79">
        <f t="shared" si="8"/>
        <v>6362.5387141719739</v>
      </c>
      <c r="Q25" s="11">
        <f t="shared" si="9"/>
        <v>6362.5387141719739</v>
      </c>
      <c r="R25" s="11">
        <f t="shared" si="10"/>
        <v>6362.5387141719739</v>
      </c>
      <c r="S25" s="11">
        <f t="shared" si="11"/>
        <v>6362.5387141719739</v>
      </c>
      <c r="T25" s="11">
        <f t="shared" si="12"/>
        <v>6362.5387141719739</v>
      </c>
      <c r="U25" s="11">
        <f t="shared" si="13"/>
        <v>6362.5387141719739</v>
      </c>
      <c r="V25" s="11">
        <f t="shared" si="14"/>
        <v>6362.5387141719739</v>
      </c>
      <c r="W25" s="75">
        <f t="shared" si="15"/>
        <v>6362.5387141719739</v>
      </c>
      <c r="X25" s="79">
        <f t="shared" si="17"/>
        <v>3181.2693570859869</v>
      </c>
      <c r="Y25" s="11">
        <f t="shared" si="18"/>
        <v>3181.2693570859869</v>
      </c>
      <c r="Z25" s="11">
        <f t="shared" si="19"/>
        <v>3181.2693570859869</v>
      </c>
      <c r="AA25" s="11">
        <f t="shared" si="20"/>
        <v>3181.2693570859869</v>
      </c>
      <c r="AB25" s="11">
        <f t="shared" si="21"/>
        <v>3181.2693570859869</v>
      </c>
      <c r="AC25" s="11">
        <f t="shared" si="22"/>
        <v>3181.2693570859869</v>
      </c>
      <c r="AD25" s="11">
        <f t="shared" si="23"/>
        <v>3181.2693570859869</v>
      </c>
      <c r="AE25" s="75">
        <f t="shared" si="24"/>
        <v>3181.2693570859869</v>
      </c>
    </row>
    <row r="26" spans="2:31" x14ac:dyDescent="0.25">
      <c r="B26" s="27">
        <v>8</v>
      </c>
      <c r="C26" s="3" t="s">
        <v>27</v>
      </c>
      <c r="D26" s="3"/>
      <c r="E26" s="3"/>
      <c r="F26" s="3"/>
      <c r="G26" s="28"/>
      <c r="H26" s="69">
        <f t="shared" si="0"/>
        <v>6.3291831984253122</v>
      </c>
      <c r="I26" s="9">
        <f t="shared" si="1"/>
        <v>6.3291831984253122</v>
      </c>
      <c r="J26" s="9">
        <f t="shared" si="2"/>
        <v>6.3291831984253122</v>
      </c>
      <c r="K26" s="9">
        <f t="shared" si="3"/>
        <v>6.3291831984253122</v>
      </c>
      <c r="L26" s="9">
        <f t="shared" si="4"/>
        <v>6.3291831984253122</v>
      </c>
      <c r="M26" s="9">
        <f t="shared" si="5"/>
        <v>6.3291831984253122</v>
      </c>
      <c r="N26" s="9">
        <f t="shared" si="6"/>
        <v>6.3291831984253122</v>
      </c>
      <c r="O26" s="9">
        <f t="shared" si="7"/>
        <v>6.3291831984253122</v>
      </c>
      <c r="P26" s="79">
        <f t="shared" si="8"/>
        <v>63.291831984253122</v>
      </c>
      <c r="Q26" s="11">
        <f t="shared" si="9"/>
        <v>63.291831984253122</v>
      </c>
      <c r="R26" s="11">
        <f t="shared" si="10"/>
        <v>63.291831984253122</v>
      </c>
      <c r="S26" s="11">
        <f t="shared" si="11"/>
        <v>63.291831984253122</v>
      </c>
      <c r="T26" s="11">
        <f t="shared" si="12"/>
        <v>63.291831984253122</v>
      </c>
      <c r="U26" s="11">
        <f t="shared" si="13"/>
        <v>63.291831984253122</v>
      </c>
      <c r="V26" s="11">
        <f t="shared" si="14"/>
        <v>63.291831984253122</v>
      </c>
      <c r="W26" s="75">
        <f t="shared" si="15"/>
        <v>63.291831984253122</v>
      </c>
      <c r="X26" s="79">
        <f t="shared" si="17"/>
        <v>31.645915992126561</v>
      </c>
      <c r="Y26" s="11">
        <f t="shared" si="18"/>
        <v>31.645915992126561</v>
      </c>
      <c r="Z26" s="11">
        <f t="shared" si="19"/>
        <v>31.645915992126561</v>
      </c>
      <c r="AA26" s="11">
        <f t="shared" si="20"/>
        <v>31.645915992126561</v>
      </c>
      <c r="AB26" s="11">
        <f t="shared" si="21"/>
        <v>31.645915992126561</v>
      </c>
      <c r="AC26" s="11">
        <f t="shared" si="22"/>
        <v>31.645915992126561</v>
      </c>
      <c r="AD26" s="11">
        <f t="shared" si="23"/>
        <v>31.645915992126561</v>
      </c>
      <c r="AE26" s="75">
        <f t="shared" si="24"/>
        <v>31.645915992126561</v>
      </c>
    </row>
    <row r="27" spans="2:31" x14ac:dyDescent="0.25">
      <c r="B27" s="27">
        <v>9</v>
      </c>
      <c r="C27" s="3" t="s">
        <v>28</v>
      </c>
      <c r="D27" s="3"/>
      <c r="E27" s="3"/>
      <c r="F27" s="3"/>
      <c r="G27" s="28"/>
      <c r="H27" s="69">
        <f t="shared" si="0"/>
        <v>736.7705062920204</v>
      </c>
      <c r="I27" s="9">
        <f t="shared" si="1"/>
        <v>736.7705062920204</v>
      </c>
      <c r="J27" s="9">
        <f t="shared" si="2"/>
        <v>736.7705062920204</v>
      </c>
      <c r="K27" s="9">
        <f t="shared" si="3"/>
        <v>736.7705062920204</v>
      </c>
      <c r="L27" s="9">
        <f t="shared" si="4"/>
        <v>736.7705062920204</v>
      </c>
      <c r="M27" s="9">
        <f t="shared" si="5"/>
        <v>736.7705062920204</v>
      </c>
      <c r="N27" s="9">
        <f t="shared" si="6"/>
        <v>736.7705062920204</v>
      </c>
      <c r="O27" s="9">
        <f t="shared" si="7"/>
        <v>736.7705062920204</v>
      </c>
      <c r="P27" s="79">
        <f t="shared" si="8"/>
        <v>7367.705062920204</v>
      </c>
      <c r="Q27" s="11">
        <f t="shared" si="9"/>
        <v>7367.705062920204</v>
      </c>
      <c r="R27" s="11">
        <f t="shared" si="10"/>
        <v>7367.705062920204</v>
      </c>
      <c r="S27" s="11">
        <f t="shared" si="11"/>
        <v>7367.705062920204</v>
      </c>
      <c r="T27" s="11">
        <f t="shared" si="12"/>
        <v>7367.705062920204</v>
      </c>
      <c r="U27" s="11">
        <f t="shared" si="13"/>
        <v>7367.705062920204</v>
      </c>
      <c r="V27" s="11">
        <f t="shared" si="14"/>
        <v>7367.705062920204</v>
      </c>
      <c r="W27" s="75">
        <f t="shared" si="15"/>
        <v>7367.705062920204</v>
      </c>
      <c r="X27" s="79">
        <f t="shared" si="17"/>
        <v>3683.852531460102</v>
      </c>
      <c r="Y27" s="11">
        <f t="shared" si="18"/>
        <v>3683.852531460102</v>
      </c>
      <c r="Z27" s="11">
        <f t="shared" si="19"/>
        <v>3683.852531460102</v>
      </c>
      <c r="AA27" s="11">
        <f t="shared" si="20"/>
        <v>3683.852531460102</v>
      </c>
      <c r="AB27" s="11">
        <f t="shared" si="21"/>
        <v>3683.852531460102</v>
      </c>
      <c r="AC27" s="11">
        <f t="shared" si="22"/>
        <v>3683.852531460102</v>
      </c>
      <c r="AD27" s="11">
        <f t="shared" si="23"/>
        <v>3683.852531460102</v>
      </c>
      <c r="AE27" s="75">
        <f t="shared" si="24"/>
        <v>3683.852531460102</v>
      </c>
    </row>
    <row r="28" spans="2:31" ht="15.75" thickBot="1" x14ac:dyDescent="0.3">
      <c r="B28" s="41">
        <v>10</v>
      </c>
      <c r="C28" s="81" t="s">
        <v>29</v>
      </c>
      <c r="D28" s="81"/>
      <c r="E28" s="81"/>
      <c r="F28" s="81"/>
      <c r="G28" s="38"/>
      <c r="H28" s="71">
        <f t="shared" si="0"/>
        <v>5728.992254760683</v>
      </c>
      <c r="I28" s="72">
        <f t="shared" si="1"/>
        <v>5997.1766524516006</v>
      </c>
      <c r="J28" s="72">
        <f t="shared" si="2"/>
        <v>3171.912467853052</v>
      </c>
      <c r="K28" s="72">
        <f t="shared" si="3"/>
        <v>5501.4488882414071</v>
      </c>
      <c r="L28" s="72">
        <f t="shared" si="4"/>
        <v>5728.992254760683</v>
      </c>
      <c r="M28" s="72">
        <f t="shared" si="5"/>
        <v>5997.1766524516006</v>
      </c>
      <c r="N28" s="72">
        <f t="shared" si="6"/>
        <v>3171.912467853052</v>
      </c>
      <c r="O28" s="72">
        <f t="shared" si="7"/>
        <v>5501.4488882414071</v>
      </c>
      <c r="P28" s="80">
        <f t="shared" si="8"/>
        <v>57289.922547606824</v>
      </c>
      <c r="Q28" s="76">
        <f t="shared" si="9"/>
        <v>59971.766524516002</v>
      </c>
      <c r="R28" s="76">
        <f t="shared" si="10"/>
        <v>31719.124678530519</v>
      </c>
      <c r="S28" s="76">
        <f t="shared" si="11"/>
        <v>55014.488882414065</v>
      </c>
      <c r="T28" s="76">
        <f t="shared" si="12"/>
        <v>57289.922547606824</v>
      </c>
      <c r="U28" s="76">
        <f t="shared" si="13"/>
        <v>59971.766524516002</v>
      </c>
      <c r="V28" s="76">
        <f t="shared" si="14"/>
        <v>31719.124678530519</v>
      </c>
      <c r="W28" s="77">
        <f t="shared" si="15"/>
        <v>55014.488882414065</v>
      </c>
      <c r="X28" s="80">
        <f t="shared" si="17"/>
        <v>28644.961273803412</v>
      </c>
      <c r="Y28" s="76">
        <f t="shared" si="18"/>
        <v>29985.883262258001</v>
      </c>
      <c r="Z28" s="76">
        <f t="shared" si="19"/>
        <v>15859.56233926526</v>
      </c>
      <c r="AA28" s="76">
        <f t="shared" si="20"/>
        <v>27507.244441207033</v>
      </c>
      <c r="AB28" s="76">
        <f t="shared" si="21"/>
        <v>28644.961273803412</v>
      </c>
      <c r="AC28" s="76">
        <f t="shared" si="22"/>
        <v>29985.883262258001</v>
      </c>
      <c r="AD28" s="76">
        <f t="shared" si="23"/>
        <v>15859.56233926526</v>
      </c>
      <c r="AE28" s="77">
        <f t="shared" si="24"/>
        <v>27507.244441207033</v>
      </c>
    </row>
    <row r="29" spans="2:31" ht="15.75" thickBot="1" x14ac:dyDescent="0.3"/>
    <row r="30" spans="2:31" ht="15" customHeight="1" thickBot="1" x14ac:dyDescent="0.3">
      <c r="I30" s="110" t="s">
        <v>82</v>
      </c>
      <c r="J30" s="111"/>
      <c r="K30" s="43">
        <f>MAX(H6:O15)</f>
        <v>29014.890390577664</v>
      </c>
      <c r="L30" s="44" t="s">
        <v>47</v>
      </c>
      <c r="P30" s="113" t="s">
        <v>134</v>
      </c>
      <c r="Q30" s="114"/>
      <c r="R30" s="36">
        <f>MAX(P19:W28)</f>
        <v>59971.766524516002</v>
      </c>
      <c r="S30" s="37" t="s">
        <v>47</v>
      </c>
      <c r="X30" s="113" t="s">
        <v>132</v>
      </c>
      <c r="Y30" s="114"/>
      <c r="Z30" s="36">
        <f>MAX(X19:AE28)</f>
        <v>29985.883262258001</v>
      </c>
      <c r="AA30" s="37" t="s">
        <v>47</v>
      </c>
    </row>
    <row r="31" spans="2:31" ht="15.75" thickBot="1" x14ac:dyDescent="0.3">
      <c r="C31" s="110" t="s">
        <v>30</v>
      </c>
      <c r="D31" s="111"/>
      <c r="E31" s="112"/>
      <c r="I31" s="118" t="s">
        <v>83</v>
      </c>
      <c r="J31" s="119"/>
      <c r="K31" s="45">
        <f>MIN(H6:O15)</f>
        <v>-30857.373641555572</v>
      </c>
      <c r="L31" s="46" t="s">
        <v>47</v>
      </c>
      <c r="P31" s="17"/>
      <c r="Q31" s="17"/>
    </row>
    <row r="32" spans="2:31" x14ac:dyDescent="0.25">
      <c r="C32" s="25" t="s">
        <v>34</v>
      </c>
      <c r="D32" s="1"/>
      <c r="E32" s="26"/>
    </row>
    <row r="33" spans="3:9" x14ac:dyDescent="0.25">
      <c r="C33" s="27" t="s">
        <v>31</v>
      </c>
      <c r="D33" s="3">
        <v>0.2</v>
      </c>
      <c r="E33" s="39" t="s">
        <v>44</v>
      </c>
    </row>
    <row r="34" spans="3:9" x14ac:dyDescent="0.25">
      <c r="C34" s="27" t="s">
        <v>32</v>
      </c>
      <c r="D34" s="3">
        <v>2</v>
      </c>
      <c r="E34" s="39" t="s">
        <v>44</v>
      </c>
    </row>
    <row r="35" spans="3:9" x14ac:dyDescent="0.25">
      <c r="C35" s="29" t="s">
        <v>46</v>
      </c>
      <c r="D35" s="10">
        <f>R30</f>
        <v>59971.766524516002</v>
      </c>
      <c r="E35" s="30" t="s">
        <v>47</v>
      </c>
    </row>
    <row r="36" spans="3:9" x14ac:dyDescent="0.25">
      <c r="C36" s="25"/>
      <c r="D36" s="1"/>
      <c r="E36" s="26"/>
    </row>
    <row r="37" spans="3:9" x14ac:dyDescent="0.25">
      <c r="C37" s="123" t="s">
        <v>35</v>
      </c>
      <c r="D37" s="124"/>
      <c r="E37" s="125"/>
    </row>
    <row r="38" spans="3:9" x14ac:dyDescent="0.25">
      <c r="C38" s="27" t="s">
        <v>136</v>
      </c>
      <c r="D38" s="3">
        <v>11.875</v>
      </c>
      <c r="E38" s="28" t="s">
        <v>39</v>
      </c>
    </row>
    <row r="39" spans="3:9" x14ac:dyDescent="0.25">
      <c r="C39" s="27" t="s">
        <v>57</v>
      </c>
      <c r="D39" s="3">
        <v>11.143000000000001</v>
      </c>
      <c r="E39" s="28" t="s">
        <v>39</v>
      </c>
    </row>
    <row r="40" spans="3:9" x14ac:dyDescent="0.25">
      <c r="C40" s="27" t="s">
        <v>54</v>
      </c>
      <c r="D40" s="3">
        <v>1.27</v>
      </c>
      <c r="E40" s="28" t="s">
        <v>39</v>
      </c>
    </row>
    <row r="41" spans="3:9" x14ac:dyDescent="0.25">
      <c r="C41" s="27" t="s">
        <v>41</v>
      </c>
      <c r="D41" s="3">
        <v>30</v>
      </c>
      <c r="E41" s="28" t="s">
        <v>42</v>
      </c>
    </row>
    <row r="42" spans="3:9" x14ac:dyDescent="0.25">
      <c r="C42" s="27" t="s">
        <v>50</v>
      </c>
      <c r="D42" s="13">
        <v>0.12</v>
      </c>
      <c r="E42" s="28"/>
    </row>
    <row r="43" spans="3:9" x14ac:dyDescent="0.25">
      <c r="C43" s="29"/>
      <c r="D43" s="6"/>
      <c r="E43" s="30"/>
    </row>
    <row r="44" spans="3:9" x14ac:dyDescent="0.25">
      <c r="C44" s="123" t="s">
        <v>36</v>
      </c>
      <c r="D44" s="124"/>
      <c r="E44" s="125"/>
    </row>
    <row r="45" spans="3:9" x14ac:dyDescent="0.25">
      <c r="C45" s="27" t="s">
        <v>37</v>
      </c>
      <c r="D45" s="3">
        <f>11.049*2</f>
        <v>22.097999999999999</v>
      </c>
      <c r="E45" s="28" t="s">
        <v>39</v>
      </c>
    </row>
    <row r="46" spans="3:9" x14ac:dyDescent="0.25">
      <c r="C46" s="27" t="s">
        <v>38</v>
      </c>
      <c r="D46" s="3">
        <f>6.85*2</f>
        <v>13.7</v>
      </c>
      <c r="E46" s="28" t="s">
        <v>39</v>
      </c>
    </row>
    <row r="47" spans="3:9" x14ac:dyDescent="0.25">
      <c r="C47" s="27" t="s">
        <v>43</v>
      </c>
      <c r="D47" s="3">
        <v>0.12</v>
      </c>
      <c r="E47" s="39" t="s">
        <v>44</v>
      </c>
    </row>
    <row r="48" spans="3:9" x14ac:dyDescent="0.25">
      <c r="C48" s="29" t="s">
        <v>40</v>
      </c>
      <c r="D48" s="6">
        <f>(D45+D46)/2</f>
        <v>17.899000000000001</v>
      </c>
      <c r="E48" s="30" t="s">
        <v>39</v>
      </c>
      <c r="H48">
        <f>D35/2*(1.27/PI()+D38*D42/COS(D41*PI()/180))</f>
        <v>61462.119576235862</v>
      </c>
      <c r="I48">
        <f>H48*104/D51</f>
        <v>50783.760403435233</v>
      </c>
    </row>
    <row r="49" spans="3:9" x14ac:dyDescent="0.25">
      <c r="C49" s="27"/>
      <c r="D49" s="3"/>
      <c r="E49" s="28"/>
      <c r="I49">
        <f>D35*104/D51</f>
        <v>49552.339606090427</v>
      </c>
    </row>
    <row r="50" spans="3:9" x14ac:dyDescent="0.25">
      <c r="C50" s="27" t="s">
        <v>45</v>
      </c>
      <c r="D50" s="40">
        <f>D35/2*(1.27/PI()+D38*D42/COS(D41*PI()/180)+D48*D47)</f>
        <v>125868.19851757459</v>
      </c>
      <c r="E50" s="28" t="s">
        <v>48</v>
      </c>
      <c r="F50" t="s">
        <v>90</v>
      </c>
    </row>
    <row r="51" spans="3:9" ht="15.75" thickBot="1" x14ac:dyDescent="0.3">
      <c r="C51" s="41" t="s">
        <v>45</v>
      </c>
      <c r="D51" s="42">
        <f>D50*10^-3</f>
        <v>125.8681985175746</v>
      </c>
      <c r="E51" s="38" t="s">
        <v>49</v>
      </c>
      <c r="F51" t="s">
        <v>90</v>
      </c>
    </row>
    <row r="53" spans="3:9" ht="15.75" thickBot="1" x14ac:dyDescent="0.3"/>
    <row r="54" spans="3:9" s="18" customFormat="1" x14ac:dyDescent="0.25">
      <c r="C54" s="19" t="s">
        <v>69</v>
      </c>
      <c r="D54" s="20"/>
      <c r="E54" s="21"/>
      <c r="F54"/>
    </row>
    <row r="55" spans="3:9" s="18" customFormat="1" x14ac:dyDescent="0.25">
      <c r="C55" s="22"/>
      <c r="D55" s="23"/>
      <c r="E55" s="24"/>
      <c r="F55"/>
    </row>
    <row r="56" spans="3:9" x14ac:dyDescent="0.25">
      <c r="C56" s="25" t="s">
        <v>65</v>
      </c>
      <c r="D56" s="1">
        <f>11.112*2</f>
        <v>22.224</v>
      </c>
      <c r="E56" s="26" t="s">
        <v>39</v>
      </c>
    </row>
    <row r="57" spans="3:9" x14ac:dyDescent="0.25">
      <c r="C57" s="27" t="s">
        <v>111</v>
      </c>
      <c r="D57" s="3">
        <v>1.575</v>
      </c>
      <c r="E57" s="28" t="s">
        <v>39</v>
      </c>
    </row>
    <row r="58" spans="3:9" x14ac:dyDescent="0.25">
      <c r="C58" s="27" t="s">
        <v>112</v>
      </c>
      <c r="D58" s="3">
        <v>35</v>
      </c>
      <c r="E58" s="28" t="s">
        <v>39</v>
      </c>
    </row>
    <row r="59" spans="3:9" x14ac:dyDescent="0.25">
      <c r="C59" s="27" t="s">
        <v>113</v>
      </c>
      <c r="D59" s="3">
        <v>5.5</v>
      </c>
      <c r="E59" s="28" t="s">
        <v>39</v>
      </c>
    </row>
    <row r="60" spans="3:9" x14ac:dyDescent="0.25">
      <c r="C60" s="27" t="s">
        <v>116</v>
      </c>
      <c r="D60" s="13">
        <v>210000</v>
      </c>
      <c r="E60" s="28" t="s">
        <v>55</v>
      </c>
    </row>
    <row r="61" spans="3:9" x14ac:dyDescent="0.25">
      <c r="C61" s="27" t="s">
        <v>66</v>
      </c>
      <c r="D61" s="3">
        <v>13.5</v>
      </c>
      <c r="E61" s="28" t="s">
        <v>39</v>
      </c>
    </row>
    <row r="62" spans="3:9" x14ac:dyDescent="0.25">
      <c r="C62" s="27" t="s">
        <v>117</v>
      </c>
      <c r="D62" s="3">
        <v>70000</v>
      </c>
      <c r="E62" s="28" t="s">
        <v>55</v>
      </c>
    </row>
    <row r="63" spans="3:9" x14ac:dyDescent="0.25">
      <c r="C63" s="27" t="s">
        <v>114</v>
      </c>
      <c r="D63" s="3">
        <v>120</v>
      </c>
      <c r="E63" s="28" t="s">
        <v>39</v>
      </c>
    </row>
    <row r="64" spans="3:9" x14ac:dyDescent="0.25">
      <c r="C64" s="98" t="s">
        <v>115</v>
      </c>
      <c r="D64" s="3">
        <f>D63+D57+D59</f>
        <v>127.075</v>
      </c>
      <c r="E64" s="28" t="s">
        <v>39</v>
      </c>
    </row>
    <row r="65" spans="3:5" x14ac:dyDescent="0.25">
      <c r="C65" s="27" t="s">
        <v>62</v>
      </c>
      <c r="D65" s="3">
        <f>PI()/4*((D56+0.5*D64*TAN(30*PI()/180))^2-D61^2)</f>
        <v>2582.2563646258855</v>
      </c>
      <c r="E65" s="28" t="s">
        <v>59</v>
      </c>
    </row>
    <row r="66" spans="3:5" x14ac:dyDescent="0.25">
      <c r="C66" s="29" t="s">
        <v>61</v>
      </c>
      <c r="D66" s="6">
        <f>(1/D65)*(D63/D62+D59/D60)</f>
        <v>6.7401370921912657E-7</v>
      </c>
      <c r="E66" s="30" t="s">
        <v>133</v>
      </c>
    </row>
    <row r="67" spans="3:5" x14ac:dyDescent="0.25">
      <c r="C67" s="27"/>
      <c r="D67" s="3"/>
      <c r="E67" s="28"/>
    </row>
    <row r="68" spans="3:5" x14ac:dyDescent="0.25">
      <c r="C68" s="27" t="s">
        <v>88</v>
      </c>
      <c r="D68" s="13">
        <v>210000</v>
      </c>
      <c r="E68" s="28" t="s">
        <v>55</v>
      </c>
    </row>
    <row r="69" spans="3:5" x14ac:dyDescent="0.25">
      <c r="C69" s="27" t="s">
        <v>121</v>
      </c>
      <c r="D69" s="3">
        <v>97</v>
      </c>
      <c r="E69" s="28" t="s">
        <v>39</v>
      </c>
    </row>
    <row r="70" spans="3:5" x14ac:dyDescent="0.25">
      <c r="C70" s="27" t="s">
        <v>125</v>
      </c>
      <c r="D70" s="13">
        <f>D103</f>
        <v>95.033177771091246</v>
      </c>
      <c r="E70" s="28" t="s">
        <v>59</v>
      </c>
    </row>
    <row r="71" spans="3:5" x14ac:dyDescent="0.25">
      <c r="C71" s="27" t="s">
        <v>123</v>
      </c>
      <c r="D71" s="13">
        <f>D38^2/4*PI()</f>
        <v>110.75341288534329</v>
      </c>
      <c r="E71" s="28" t="s">
        <v>59</v>
      </c>
    </row>
    <row r="72" spans="3:5" x14ac:dyDescent="0.25">
      <c r="C72" s="27" t="s">
        <v>124</v>
      </c>
      <c r="D72" s="13">
        <f>2.075</f>
        <v>2.0750000000000002</v>
      </c>
      <c r="E72" s="28" t="s">
        <v>39</v>
      </c>
    </row>
    <row r="73" spans="3:5" x14ac:dyDescent="0.25">
      <c r="C73" s="98" t="s">
        <v>126</v>
      </c>
      <c r="D73" s="3">
        <v>12.8</v>
      </c>
      <c r="E73" s="99" t="s">
        <v>39</v>
      </c>
    </row>
    <row r="74" spans="3:5" x14ac:dyDescent="0.25">
      <c r="C74" s="98" t="s">
        <v>127</v>
      </c>
      <c r="D74" s="13">
        <f>D73^2/4*PI()</f>
        <v>128.67963509103794</v>
      </c>
      <c r="E74" s="99" t="s">
        <v>39</v>
      </c>
    </row>
    <row r="75" spans="3:5" x14ac:dyDescent="0.25">
      <c r="C75" s="98" t="s">
        <v>128</v>
      </c>
      <c r="D75" s="3">
        <v>10.776</v>
      </c>
      <c r="E75" s="99" t="s">
        <v>39</v>
      </c>
    </row>
    <row r="76" spans="3:5" x14ac:dyDescent="0.25">
      <c r="C76" s="27" t="s">
        <v>122</v>
      </c>
      <c r="D76" s="13">
        <v>27.5</v>
      </c>
      <c r="E76" s="28" t="s">
        <v>39</v>
      </c>
    </row>
    <row r="77" spans="3:5" x14ac:dyDescent="0.25">
      <c r="C77" s="27" t="s">
        <v>119</v>
      </c>
      <c r="D77" s="13">
        <v>13</v>
      </c>
      <c r="E77" s="28" t="s">
        <v>39</v>
      </c>
    </row>
    <row r="78" spans="3:5" x14ac:dyDescent="0.25">
      <c r="C78" s="27" t="s">
        <v>120</v>
      </c>
      <c r="D78" s="13">
        <f>D77^2/4*PI()</f>
        <v>132.73228961416876</v>
      </c>
      <c r="E78" s="28" t="s">
        <v>59</v>
      </c>
    </row>
    <row r="79" spans="3:5" ht="15.75" thickBot="1" x14ac:dyDescent="0.3">
      <c r="C79" s="41" t="s">
        <v>118</v>
      </c>
      <c r="D79" s="100">
        <f>(1/D68)*((D72+0.4*12.7)/D71+D69/D70+D75/D74+D76/D78)</f>
        <v>6.5534568747494921E-6</v>
      </c>
      <c r="E79" s="38" t="s">
        <v>133</v>
      </c>
    </row>
    <row r="81" spans="3:17" ht="15.75" thickBot="1" x14ac:dyDescent="0.3"/>
    <row r="82" spans="3:17" x14ac:dyDescent="0.25">
      <c r="C82" s="120" t="s">
        <v>75</v>
      </c>
      <c r="D82" s="121"/>
      <c r="E82" s="122"/>
    </row>
    <row r="83" spans="3:17" x14ac:dyDescent="0.25">
      <c r="C83" s="56"/>
      <c r="D83" s="57"/>
      <c r="E83" s="58"/>
    </row>
    <row r="84" spans="3:17" x14ac:dyDescent="0.25">
      <c r="C84" s="123" t="s">
        <v>72</v>
      </c>
      <c r="D84" s="124"/>
      <c r="E84" s="125"/>
    </row>
    <row r="85" spans="3:17" x14ac:dyDescent="0.25">
      <c r="C85" s="25" t="s">
        <v>51</v>
      </c>
      <c r="D85" s="1">
        <v>25</v>
      </c>
      <c r="E85" s="34" t="s">
        <v>52</v>
      </c>
    </row>
    <row r="86" spans="3:17" x14ac:dyDescent="0.25">
      <c r="C86" s="29" t="s">
        <v>53</v>
      </c>
      <c r="D86" s="6">
        <f>(1-D85/1000)*D35</f>
        <v>58472.472361403103</v>
      </c>
      <c r="E86" s="30" t="s">
        <v>47</v>
      </c>
    </row>
    <row r="87" spans="3:17" x14ac:dyDescent="0.25">
      <c r="C87" s="27"/>
      <c r="D87" s="3"/>
      <c r="E87" s="28"/>
    </row>
    <row r="88" spans="3:17" x14ac:dyDescent="0.25">
      <c r="C88" s="123" t="s">
        <v>73</v>
      </c>
      <c r="D88" s="124"/>
      <c r="E88" s="125"/>
    </row>
    <row r="89" spans="3:17" x14ac:dyDescent="0.25">
      <c r="C89" s="27" t="s">
        <v>70</v>
      </c>
      <c r="D89" s="3">
        <f>35*10^-6</f>
        <v>3.4999999999999997E-5</v>
      </c>
      <c r="E89" s="28" t="s">
        <v>39</v>
      </c>
    </row>
    <row r="90" spans="3:17" x14ac:dyDescent="0.25">
      <c r="C90" s="29" t="s">
        <v>71</v>
      </c>
      <c r="D90" s="6">
        <f>D89/(D66+D79)</f>
        <v>4.842634721701133</v>
      </c>
      <c r="E90" s="30" t="s">
        <v>47</v>
      </c>
    </row>
    <row r="91" spans="3:17" x14ac:dyDescent="0.25">
      <c r="C91" s="56"/>
      <c r="D91" s="57"/>
      <c r="E91" s="58"/>
    </row>
    <row r="92" spans="3:17" x14ac:dyDescent="0.25">
      <c r="C92" s="123" t="s">
        <v>74</v>
      </c>
      <c r="D92" s="124"/>
      <c r="E92" s="125"/>
    </row>
    <row r="93" spans="3:17" x14ac:dyDescent="0.25">
      <c r="C93" s="27" t="s">
        <v>67</v>
      </c>
      <c r="D93" s="9">
        <f>$K$30*D66/($D$79+$D$66)</f>
        <v>2705.847594609118</v>
      </c>
      <c r="E93" s="28" t="s">
        <v>47</v>
      </c>
    </row>
    <row r="94" spans="3:17" x14ac:dyDescent="0.25">
      <c r="C94" s="29" t="s">
        <v>68</v>
      </c>
      <c r="D94" s="10">
        <f>$K$30*D79/($D$79+$D$66)</f>
        <v>26309.042795968548</v>
      </c>
      <c r="E94" s="30" t="s">
        <v>47</v>
      </c>
      <c r="M94" s="128" t="s">
        <v>81</v>
      </c>
      <c r="N94" s="129"/>
      <c r="O94" s="129"/>
      <c r="P94" s="129"/>
      <c r="Q94" s="130"/>
    </row>
    <row r="95" spans="3:17" x14ac:dyDescent="0.25">
      <c r="C95" s="56"/>
      <c r="D95" s="57"/>
      <c r="E95" s="58"/>
      <c r="M95" s="126" t="s">
        <v>63</v>
      </c>
      <c r="N95" s="127"/>
      <c r="O95" s="14" t="s">
        <v>64</v>
      </c>
      <c r="P95" s="15"/>
      <c r="Q95" s="16"/>
    </row>
    <row r="96" spans="3:17" ht="15.75" thickBot="1" x14ac:dyDescent="0.3">
      <c r="C96" s="31" t="s">
        <v>76</v>
      </c>
      <c r="D96" s="35">
        <f>D86-D90-D94</f>
        <v>32158.586930712852</v>
      </c>
      <c r="E96" s="33" t="s">
        <v>47</v>
      </c>
      <c r="M96" s="2" t="s">
        <v>77</v>
      </c>
      <c r="N96" s="4" t="s">
        <v>78</v>
      </c>
      <c r="O96" s="2" t="s">
        <v>77</v>
      </c>
      <c r="P96" s="3" t="s">
        <v>78</v>
      </c>
      <c r="Q96" s="4" t="s">
        <v>78</v>
      </c>
    </row>
    <row r="97" spans="3:17" x14ac:dyDescent="0.25">
      <c r="M97" s="2" t="s">
        <v>79</v>
      </c>
      <c r="N97" s="4" t="s">
        <v>80</v>
      </c>
      <c r="O97" s="2" t="s">
        <v>79</v>
      </c>
      <c r="P97" s="3" t="s">
        <v>80</v>
      </c>
      <c r="Q97" s="4" t="s">
        <v>80</v>
      </c>
    </row>
    <row r="98" spans="3:17" ht="15.75" thickBot="1" x14ac:dyDescent="0.3">
      <c r="M98" s="2">
        <v>0</v>
      </c>
      <c r="N98" s="4">
        <f>M98/D79</f>
        <v>0</v>
      </c>
      <c r="O98" s="2">
        <v>0</v>
      </c>
      <c r="P98" s="3">
        <f>-O98/$D$66</f>
        <v>0</v>
      </c>
      <c r="Q98" s="4">
        <f>P99*(-1)</f>
        <v>14836.493476646676</v>
      </c>
    </row>
    <row r="99" spans="3:17" x14ac:dyDescent="0.25">
      <c r="C99" s="120" t="s">
        <v>89</v>
      </c>
      <c r="D99" s="121"/>
      <c r="E99" s="122"/>
      <c r="M99" s="5">
        <v>0.01</v>
      </c>
      <c r="N99" s="7">
        <f>M99/D79</f>
        <v>1525.9122309219824</v>
      </c>
      <c r="O99" s="5">
        <v>0.01</v>
      </c>
      <c r="P99" s="6">
        <f>-O99/$D$66</f>
        <v>-14836.493476646676</v>
      </c>
      <c r="Q99" s="7">
        <v>0</v>
      </c>
    </row>
    <row r="100" spans="3:17" x14ac:dyDescent="0.25">
      <c r="C100" s="86"/>
      <c r="D100" s="87"/>
      <c r="E100" s="88"/>
    </row>
    <row r="101" spans="3:17" x14ac:dyDescent="0.25">
      <c r="C101" s="27" t="s">
        <v>85</v>
      </c>
      <c r="D101" s="3">
        <v>11</v>
      </c>
      <c r="E101" s="28" t="s">
        <v>39</v>
      </c>
    </row>
    <row r="102" spans="3:17" x14ac:dyDescent="0.25">
      <c r="C102" s="27" t="s">
        <v>58</v>
      </c>
      <c r="D102" s="3">
        <f>D39^2/4*PI()</f>
        <v>97.520101000182933</v>
      </c>
      <c r="E102" s="28" t="s">
        <v>59</v>
      </c>
    </row>
    <row r="103" spans="3:17" x14ac:dyDescent="0.25">
      <c r="C103" s="27" t="s">
        <v>84</v>
      </c>
      <c r="D103" s="3">
        <f>D101^2/4*PI()</f>
        <v>95.033177771091246</v>
      </c>
      <c r="E103" s="28" t="s">
        <v>59</v>
      </c>
    </row>
    <row r="104" spans="3:17" x14ac:dyDescent="0.25">
      <c r="C104" s="27" t="s">
        <v>56</v>
      </c>
      <c r="D104" s="3">
        <v>1172</v>
      </c>
      <c r="E104" s="28" t="s">
        <v>55</v>
      </c>
    </row>
    <row r="105" spans="3:17" x14ac:dyDescent="0.25">
      <c r="C105" s="29" t="s">
        <v>88</v>
      </c>
      <c r="D105" s="6">
        <v>210000</v>
      </c>
      <c r="E105" s="30" t="s">
        <v>55</v>
      </c>
    </row>
    <row r="106" spans="3:17" x14ac:dyDescent="0.25">
      <c r="C106" s="53"/>
      <c r="D106" s="89"/>
      <c r="E106" s="55"/>
    </row>
    <row r="107" spans="3:17" x14ac:dyDescent="0.25">
      <c r="C107" s="123" t="s">
        <v>92</v>
      </c>
      <c r="D107" s="124"/>
      <c r="E107" s="125"/>
    </row>
    <row r="108" spans="3:17" x14ac:dyDescent="0.25">
      <c r="C108" s="27" t="s">
        <v>91</v>
      </c>
      <c r="D108" s="40">
        <f>D50</f>
        <v>125868.19851757459</v>
      </c>
      <c r="E108" s="28" t="s">
        <v>48</v>
      </c>
    </row>
    <row r="109" spans="3:17" x14ac:dyDescent="0.25">
      <c r="C109" s="27" t="s">
        <v>129</v>
      </c>
      <c r="D109" s="40">
        <f>D35/2*(1.27/PI()+D38*D42/COS(D41*PI()/180))</f>
        <v>61462.119576235862</v>
      </c>
      <c r="E109" s="28" t="s">
        <v>48</v>
      </c>
    </row>
    <row r="110" spans="3:17" x14ac:dyDescent="0.25">
      <c r="C110" s="27" t="s">
        <v>108</v>
      </c>
      <c r="D110" s="9">
        <f>D35</f>
        <v>59971.766524516002</v>
      </c>
      <c r="E110" s="28" t="s">
        <v>47</v>
      </c>
    </row>
    <row r="111" spans="3:17" x14ac:dyDescent="0.25">
      <c r="C111" s="29" t="s">
        <v>107</v>
      </c>
      <c r="D111" s="10">
        <f>D35+D93</f>
        <v>62677.614119125123</v>
      </c>
      <c r="E111" s="30" t="s">
        <v>47</v>
      </c>
    </row>
    <row r="112" spans="3:17" x14ac:dyDescent="0.25">
      <c r="C112" s="53"/>
      <c r="D112" s="54"/>
      <c r="E112" s="55"/>
    </row>
    <row r="113" spans="3:5" x14ac:dyDescent="0.25">
      <c r="C113" s="131" t="s">
        <v>93</v>
      </c>
      <c r="D113" s="132"/>
      <c r="E113" s="133"/>
    </row>
    <row r="114" spans="3:5" x14ac:dyDescent="0.25">
      <c r="C114" s="25" t="s">
        <v>109</v>
      </c>
      <c r="D114" s="93">
        <f>D111/D103</f>
        <v>659.53402368695106</v>
      </c>
      <c r="E114" s="26" t="s">
        <v>55</v>
      </c>
    </row>
    <row r="115" spans="3:5" x14ac:dyDescent="0.25">
      <c r="C115" s="27" t="s">
        <v>130</v>
      </c>
      <c r="D115" s="90">
        <f>16*D109/(PI()*D39^3)</f>
        <v>226.24096868530688</v>
      </c>
      <c r="E115" s="28" t="s">
        <v>55</v>
      </c>
    </row>
    <row r="116" spans="3:5" x14ac:dyDescent="0.25">
      <c r="C116" s="27" t="s">
        <v>110</v>
      </c>
      <c r="D116" s="90">
        <f>SQRT(D114^2+3*D115^2)</f>
        <v>767.16364364827518</v>
      </c>
      <c r="E116" s="28" t="s">
        <v>55</v>
      </c>
    </row>
    <row r="117" spans="3:5" x14ac:dyDescent="0.25">
      <c r="C117" s="27" t="s">
        <v>87</v>
      </c>
      <c r="D117" s="90">
        <f>D110/D102</f>
        <v>614.96825689714478</v>
      </c>
      <c r="E117" s="28" t="s">
        <v>55</v>
      </c>
    </row>
    <row r="118" spans="3:5" x14ac:dyDescent="0.25">
      <c r="C118" s="27" t="s">
        <v>86</v>
      </c>
      <c r="D118" s="90">
        <f>16*D108/(PI()*D39^3)</f>
        <v>463.3185994174687</v>
      </c>
      <c r="E118" s="28" t="s">
        <v>55</v>
      </c>
    </row>
    <row r="119" spans="3:5" x14ac:dyDescent="0.25">
      <c r="C119" s="29" t="s">
        <v>94</v>
      </c>
      <c r="D119" s="94">
        <f>SQRT(D117^2+3*D118^2)</f>
        <v>1011.0283530592044</v>
      </c>
      <c r="E119" s="30" t="s">
        <v>55</v>
      </c>
    </row>
    <row r="120" spans="3:5" x14ac:dyDescent="0.25">
      <c r="C120" s="53"/>
      <c r="D120" s="89"/>
      <c r="E120" s="55"/>
    </row>
    <row r="121" spans="3:5" x14ac:dyDescent="0.25">
      <c r="C121" s="115" t="s">
        <v>32</v>
      </c>
      <c r="D121" s="116"/>
      <c r="E121" s="117"/>
    </row>
    <row r="122" spans="3:5" x14ac:dyDescent="0.25">
      <c r="C122" s="25" t="s">
        <v>105</v>
      </c>
      <c r="D122" s="92">
        <f>D104/D116</f>
        <v>1.5277053464453954</v>
      </c>
      <c r="E122" s="26"/>
    </row>
    <row r="123" spans="3:5" ht="15.75" thickBot="1" x14ac:dyDescent="0.3">
      <c r="C123" s="41" t="s">
        <v>106</v>
      </c>
      <c r="D123" s="42">
        <f>D104/D119</f>
        <v>1.159215759334268</v>
      </c>
      <c r="E123" s="38"/>
    </row>
    <row r="125" spans="3:5" ht="15.75" thickBot="1" x14ac:dyDescent="0.3"/>
    <row r="126" spans="3:5" x14ac:dyDescent="0.25">
      <c r="C126" s="120" t="s">
        <v>89</v>
      </c>
      <c r="D126" s="121"/>
      <c r="E126" s="122"/>
    </row>
    <row r="127" spans="3:5" x14ac:dyDescent="0.25">
      <c r="C127" s="47"/>
      <c r="D127" s="48"/>
      <c r="E127" s="49"/>
    </row>
    <row r="128" spans="3:5" x14ac:dyDescent="0.25">
      <c r="C128" s="25" t="s">
        <v>102</v>
      </c>
      <c r="D128" s="1">
        <v>13</v>
      </c>
      <c r="E128" s="26" t="s">
        <v>39</v>
      </c>
    </row>
    <row r="129" spans="3:5" x14ac:dyDescent="0.25">
      <c r="C129" s="27" t="s">
        <v>102</v>
      </c>
      <c r="D129" s="3">
        <f>D128^2/4*PI()</f>
        <v>132.73228961416876</v>
      </c>
      <c r="E129" s="28" t="s">
        <v>59</v>
      </c>
    </row>
    <row r="130" spans="3:5" x14ac:dyDescent="0.25">
      <c r="C130" s="27" t="s">
        <v>56</v>
      </c>
      <c r="D130" s="3">
        <v>1172</v>
      </c>
      <c r="E130" s="28" t="s">
        <v>55</v>
      </c>
    </row>
    <row r="131" spans="3:5" x14ac:dyDescent="0.25">
      <c r="C131" s="29" t="s">
        <v>88</v>
      </c>
      <c r="D131" s="6">
        <v>210000</v>
      </c>
      <c r="E131" s="30" t="s">
        <v>55</v>
      </c>
    </row>
    <row r="132" spans="3:5" x14ac:dyDescent="0.25">
      <c r="C132" s="50"/>
      <c r="D132" s="51"/>
      <c r="E132" s="52"/>
    </row>
    <row r="133" spans="3:5" x14ac:dyDescent="0.25">
      <c r="C133" s="123" t="s">
        <v>92</v>
      </c>
      <c r="D133" s="124"/>
      <c r="E133" s="125"/>
    </row>
    <row r="134" spans="3:5" x14ac:dyDescent="0.25">
      <c r="C134" s="29" t="s">
        <v>103</v>
      </c>
      <c r="D134" s="10">
        <f>R28</f>
        <v>31719.124678530519</v>
      </c>
      <c r="E134" s="30" t="s">
        <v>47</v>
      </c>
    </row>
    <row r="135" spans="3:5" x14ac:dyDescent="0.25">
      <c r="C135" s="53"/>
      <c r="D135" s="54"/>
      <c r="E135" s="55"/>
    </row>
    <row r="136" spans="3:5" x14ac:dyDescent="0.25">
      <c r="C136" s="115" t="s">
        <v>93</v>
      </c>
      <c r="D136" s="116"/>
      <c r="E136" s="117"/>
    </row>
    <row r="137" spans="3:5" x14ac:dyDescent="0.25">
      <c r="C137" s="27" t="s">
        <v>104</v>
      </c>
      <c r="D137" s="3">
        <f>4/3*D134/D129</f>
        <v>318.62756501057248</v>
      </c>
      <c r="E137" s="28" t="s">
        <v>55</v>
      </c>
    </row>
    <row r="138" spans="3:5" x14ac:dyDescent="0.25">
      <c r="C138" s="29" t="s">
        <v>94</v>
      </c>
      <c r="D138" s="6">
        <f>SQRT(3*D137^2)</f>
        <v>551.87913129026697</v>
      </c>
      <c r="E138" s="30" t="s">
        <v>55</v>
      </c>
    </row>
    <row r="139" spans="3:5" x14ac:dyDescent="0.25">
      <c r="C139" s="50"/>
      <c r="D139" s="51"/>
      <c r="E139" s="52"/>
    </row>
    <row r="140" spans="3:5" x14ac:dyDescent="0.25">
      <c r="C140" s="115" t="s">
        <v>32</v>
      </c>
      <c r="D140" s="116"/>
      <c r="E140" s="117"/>
    </row>
    <row r="141" spans="3:5" ht="15.75" thickBot="1" x14ac:dyDescent="0.3">
      <c r="C141" s="31" t="s">
        <v>60</v>
      </c>
      <c r="D141" s="32">
        <f>D130/D138</f>
        <v>2.1236534116807788</v>
      </c>
      <c r="E141" s="33"/>
    </row>
  </sheetData>
  <mergeCells count="24">
    <mergeCell ref="C126:E126"/>
    <mergeCell ref="C133:E133"/>
    <mergeCell ref="C136:E136"/>
    <mergeCell ref="C140:E140"/>
    <mergeCell ref="P30:Q30"/>
    <mergeCell ref="C88:E88"/>
    <mergeCell ref="C92:E92"/>
    <mergeCell ref="M95:N95"/>
    <mergeCell ref="M94:Q94"/>
    <mergeCell ref="C31:E31"/>
    <mergeCell ref="C37:E37"/>
    <mergeCell ref="C44:E44"/>
    <mergeCell ref="C82:E82"/>
    <mergeCell ref="C84:E84"/>
    <mergeCell ref="C107:E107"/>
    <mergeCell ref="C113:E113"/>
    <mergeCell ref="H17:O17"/>
    <mergeCell ref="P17:W17"/>
    <mergeCell ref="X17:AE17"/>
    <mergeCell ref="X30:Y30"/>
    <mergeCell ref="C121:E121"/>
    <mergeCell ref="I30:J30"/>
    <mergeCell ref="I31:J31"/>
    <mergeCell ref="C99:E99"/>
  </mergeCells>
  <phoneticPr fontId="2" type="noConversion"/>
  <conditionalFormatting sqref="P6:W15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6:O15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6:AE15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9:W28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9:O28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19:W28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19:AE28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19:AE28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96">
    <cfRule type="cellIs" dxfId="3" priority="1" operator="lessThan">
      <formula>$Z$30</formula>
    </cfRule>
    <cfRule type="cellIs" dxfId="2" priority="2" operator="greaterThan">
      <formula>$Z$30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DD8C7-2B1B-417E-B6CA-890AC94B07F4}">
  <dimension ref="B1:AE142"/>
  <sheetViews>
    <sheetView topLeftCell="A60" zoomScale="85" zoomScaleNormal="85" workbookViewId="0">
      <selection activeCell="D96" sqref="D96"/>
    </sheetView>
  </sheetViews>
  <sheetFormatPr defaultRowHeight="15" x14ac:dyDescent="0.25"/>
  <cols>
    <col min="3" max="3" width="50.140625" bestFit="1" customWidth="1"/>
    <col min="4" max="4" width="12.28515625" bestFit="1" customWidth="1"/>
  </cols>
  <sheetData>
    <row r="1" spans="2:31" ht="15.75" thickBot="1" x14ac:dyDescent="0.3"/>
    <row r="2" spans="2:31" ht="15.75" thickBot="1" x14ac:dyDescent="0.3">
      <c r="B2" s="134" t="s">
        <v>2</v>
      </c>
      <c r="C2" s="135"/>
      <c r="D2" s="59">
        <v>2534.5</v>
      </c>
      <c r="E2" s="59">
        <v>0</v>
      </c>
      <c r="F2" s="60">
        <v>239.45</v>
      </c>
      <c r="H2" s="134" t="s">
        <v>95</v>
      </c>
      <c r="I2" s="135"/>
      <c r="J2" s="135"/>
      <c r="K2" s="135"/>
      <c r="L2" s="135" t="s">
        <v>96</v>
      </c>
      <c r="M2" s="135"/>
      <c r="N2" s="61">
        <v>0.65</v>
      </c>
      <c r="O2" s="135" t="s">
        <v>97</v>
      </c>
      <c r="P2" s="135"/>
      <c r="Q2" s="60">
        <v>0.52</v>
      </c>
      <c r="S2" s="62" t="s">
        <v>98</v>
      </c>
      <c r="T2" s="59">
        <v>60</v>
      </c>
      <c r="U2" s="63" t="s">
        <v>99</v>
      </c>
      <c r="V2" s="60">
        <v>60</v>
      </c>
    </row>
    <row r="3" spans="2:31" ht="15.75" thickBot="1" x14ac:dyDescent="0.3">
      <c r="B3" s="64"/>
      <c r="C3" s="64"/>
    </row>
    <row r="4" spans="2:31" ht="15.75" thickBot="1" x14ac:dyDescent="0.3">
      <c r="H4" s="110" t="s">
        <v>3</v>
      </c>
      <c r="I4" s="111"/>
      <c r="J4" s="111"/>
      <c r="K4" s="111"/>
      <c r="L4" s="111"/>
      <c r="M4" s="111"/>
      <c r="N4" s="111"/>
      <c r="O4" s="112"/>
      <c r="P4" s="110" t="s">
        <v>4</v>
      </c>
      <c r="Q4" s="111"/>
      <c r="R4" s="111"/>
      <c r="S4" s="111"/>
      <c r="T4" s="111"/>
      <c r="U4" s="111"/>
      <c r="V4" s="111"/>
      <c r="W4" s="111"/>
      <c r="X4" s="110" t="s">
        <v>5</v>
      </c>
      <c r="Y4" s="111"/>
      <c r="Z4" s="111"/>
      <c r="AA4" s="111"/>
      <c r="AB4" s="111"/>
      <c r="AC4" s="111"/>
      <c r="AD4" s="111"/>
      <c r="AE4" s="112"/>
    </row>
    <row r="5" spans="2:31" x14ac:dyDescent="0.25">
      <c r="B5" s="85" t="s">
        <v>6</v>
      </c>
      <c r="C5" s="20" t="s">
        <v>7</v>
      </c>
      <c r="D5" s="20" t="s">
        <v>8</v>
      </c>
      <c r="E5" s="20" t="s">
        <v>9</v>
      </c>
      <c r="F5" s="20" t="s">
        <v>10</v>
      </c>
      <c r="G5" s="21" t="s">
        <v>11</v>
      </c>
      <c r="H5" s="83" t="s">
        <v>12</v>
      </c>
      <c r="I5" s="82" t="s">
        <v>13</v>
      </c>
      <c r="J5" s="82" t="s">
        <v>14</v>
      </c>
      <c r="K5" s="82" t="s">
        <v>15</v>
      </c>
      <c r="L5" s="82" t="s">
        <v>16</v>
      </c>
      <c r="M5" s="82" t="s">
        <v>17</v>
      </c>
      <c r="N5" s="82" t="s">
        <v>18</v>
      </c>
      <c r="O5" s="84" t="s">
        <v>19</v>
      </c>
      <c r="P5" s="83" t="s">
        <v>12</v>
      </c>
      <c r="Q5" s="82" t="s">
        <v>13</v>
      </c>
      <c r="R5" s="82" t="s">
        <v>14</v>
      </c>
      <c r="S5" s="82" t="s">
        <v>15</v>
      </c>
      <c r="T5" s="82" t="s">
        <v>16</v>
      </c>
      <c r="U5" s="82" t="s">
        <v>17</v>
      </c>
      <c r="V5" s="82" t="s">
        <v>18</v>
      </c>
      <c r="W5" s="82" t="s">
        <v>19</v>
      </c>
      <c r="X5" s="83" t="s">
        <v>12</v>
      </c>
      <c r="Y5" s="82" t="s">
        <v>13</v>
      </c>
      <c r="Z5" s="82" t="s">
        <v>14</v>
      </c>
      <c r="AA5" s="82" t="s">
        <v>15</v>
      </c>
      <c r="AB5" s="82" t="s">
        <v>16</v>
      </c>
      <c r="AC5" s="82" t="s">
        <v>17</v>
      </c>
      <c r="AD5" s="82" t="s">
        <v>18</v>
      </c>
      <c r="AE5" s="84" t="s">
        <v>19</v>
      </c>
    </row>
    <row r="6" spans="2:31" x14ac:dyDescent="0.25">
      <c r="B6" s="101">
        <v>1</v>
      </c>
      <c r="C6" s="102" t="s">
        <v>20</v>
      </c>
      <c r="D6" s="102">
        <v>3.6</v>
      </c>
      <c r="E6" s="102">
        <v>0</v>
      </c>
      <c r="F6" s="102">
        <v>1</v>
      </c>
      <c r="G6" s="103">
        <v>320</v>
      </c>
      <c r="H6" s="69">
        <v>-535.74739981423249</v>
      </c>
      <c r="I6" s="9">
        <v>635.84259558100166</v>
      </c>
      <c r="J6" s="9">
        <v>2433.1650186905176</v>
      </c>
      <c r="K6" s="9">
        <v>4134.4005855427113</v>
      </c>
      <c r="L6" s="9">
        <v>-535.74739981423249</v>
      </c>
      <c r="M6" s="9">
        <v>635.84259558100166</v>
      </c>
      <c r="N6" s="9">
        <v>2433.1650186905176</v>
      </c>
      <c r="O6" s="70">
        <v>4134.4005855427113</v>
      </c>
      <c r="P6" s="6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69">
        <v>1520.7578581328144</v>
      </c>
      <c r="Y6" s="9">
        <v>1520.7578581328144</v>
      </c>
      <c r="Z6" s="9">
        <v>1520.7578581328144</v>
      </c>
      <c r="AA6" s="9">
        <v>1520.7578581328144</v>
      </c>
      <c r="AB6" s="9">
        <v>1520.7578581328144</v>
      </c>
      <c r="AC6" s="9">
        <v>1520.7578581328144</v>
      </c>
      <c r="AD6" s="9">
        <v>1520.7578581328144</v>
      </c>
      <c r="AE6" s="70">
        <v>1520.7578581328144</v>
      </c>
    </row>
    <row r="7" spans="2:31" x14ac:dyDescent="0.25">
      <c r="B7" s="101">
        <v>2</v>
      </c>
      <c r="C7" s="102" t="s">
        <v>21</v>
      </c>
      <c r="D7" s="102">
        <v>0</v>
      </c>
      <c r="E7" s="102">
        <v>0</v>
      </c>
      <c r="F7" s="102">
        <v>5</v>
      </c>
      <c r="G7" s="103">
        <v>320</v>
      </c>
      <c r="H7" s="69">
        <v>-17620.368011046503</v>
      </c>
      <c r="I7" s="9">
        <v>-8248.1441948953743</v>
      </c>
      <c r="J7" s="9">
        <v>6129.6740566908802</v>
      </c>
      <c r="K7" s="9">
        <v>19738.838149250991</v>
      </c>
      <c r="L7" s="9">
        <v>-17620.368011046503</v>
      </c>
      <c r="M7" s="9">
        <v>-8248.1441948953743</v>
      </c>
      <c r="N7" s="9">
        <v>6129.6740566908802</v>
      </c>
      <c r="O7" s="70">
        <v>19738.838149250991</v>
      </c>
      <c r="P7" s="6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69">
        <v>3267.1643629098844</v>
      </c>
      <c r="Y7" s="9">
        <v>3267.1643629098844</v>
      </c>
      <c r="Z7" s="9">
        <v>3267.1643629098844</v>
      </c>
      <c r="AA7" s="9">
        <v>3267.1643629098844</v>
      </c>
      <c r="AB7" s="9">
        <v>3267.1643629098844</v>
      </c>
      <c r="AC7" s="9">
        <v>3267.1643629098844</v>
      </c>
      <c r="AD7" s="9">
        <v>3267.1643629098844</v>
      </c>
      <c r="AE7" s="70">
        <v>3267.1643629098844</v>
      </c>
    </row>
    <row r="8" spans="2:31" x14ac:dyDescent="0.25">
      <c r="B8" s="101">
        <v>3</v>
      </c>
      <c r="C8" s="102" t="s">
        <v>22</v>
      </c>
      <c r="D8" s="102">
        <v>2.8</v>
      </c>
      <c r="E8" s="102">
        <v>0</v>
      </c>
      <c r="F8" s="102">
        <v>4</v>
      </c>
      <c r="G8" s="103">
        <v>250</v>
      </c>
      <c r="H8" s="69">
        <v>-9407.4925897287285</v>
      </c>
      <c r="I8" s="9">
        <v>-3714.0747937246524</v>
      </c>
      <c r="J8" s="9">
        <v>5020.1304394267481</v>
      </c>
      <c r="K8" s="9">
        <v>13287.395344026627</v>
      </c>
      <c r="L8" s="9">
        <v>-9407.4925897287285</v>
      </c>
      <c r="M8" s="9">
        <v>-3714.0747937246524</v>
      </c>
      <c r="N8" s="9">
        <v>5020.1304394267481</v>
      </c>
      <c r="O8" s="70">
        <v>13287.395344026627</v>
      </c>
      <c r="P8" s="6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69">
        <v>2942.6558905217917</v>
      </c>
      <c r="Y8" s="9">
        <v>2942.6558905217917</v>
      </c>
      <c r="Z8" s="9">
        <v>2942.6558905217917</v>
      </c>
      <c r="AA8" s="9">
        <v>2942.6558905217917</v>
      </c>
      <c r="AB8" s="9">
        <v>2942.6558905217917</v>
      </c>
      <c r="AC8" s="9">
        <v>2942.6558905217917</v>
      </c>
      <c r="AD8" s="9">
        <v>2942.6558905217917</v>
      </c>
      <c r="AE8" s="70">
        <v>2942.6558905217917</v>
      </c>
    </row>
    <row r="9" spans="2:31" x14ac:dyDescent="0.25">
      <c r="B9" s="101">
        <v>4</v>
      </c>
      <c r="C9" s="102" t="s">
        <v>23</v>
      </c>
      <c r="D9" s="102">
        <v>0</v>
      </c>
      <c r="E9" s="102">
        <v>3</v>
      </c>
      <c r="F9" s="102">
        <v>1</v>
      </c>
      <c r="G9" s="103">
        <v>320</v>
      </c>
      <c r="H9" s="69">
        <v>-1313.2081127433885</v>
      </c>
      <c r="I9" s="9">
        <v>3788.4367350093448</v>
      </c>
      <c r="J9" s="9">
        <v>5960.6012674624662</v>
      </c>
      <c r="K9" s="9">
        <v>9193.4804541472458</v>
      </c>
      <c r="L9" s="9">
        <v>-10394.889447695838</v>
      </c>
      <c r="M9" s="9">
        <v>-9269.0303790163325</v>
      </c>
      <c r="N9" s="9">
        <v>-1887.6544468036527</v>
      </c>
      <c r="O9" s="70">
        <v>3922.2639296401517</v>
      </c>
      <c r="P9" s="69">
        <v>-1091.9647661978338</v>
      </c>
      <c r="Q9" s="9">
        <v>-1417.9528973174642</v>
      </c>
      <c r="R9" s="9">
        <v>-1918.0474526070238</v>
      </c>
      <c r="S9" s="9">
        <v>-2391.4063966165313</v>
      </c>
      <c r="T9" s="9">
        <v>-2317.7209901715928</v>
      </c>
      <c r="U9" s="9">
        <v>-1991.7328590519624</v>
      </c>
      <c r="V9" s="9">
        <v>-1491.6383037624028</v>
      </c>
      <c r="W9" s="9">
        <v>-1018.2793597528954</v>
      </c>
      <c r="X9" s="69">
        <v>1738.6709997663888</v>
      </c>
      <c r="Y9" s="9">
        <v>2064.6559293998166</v>
      </c>
      <c r="Z9" s="9">
        <v>1637.5392521043641</v>
      </c>
      <c r="AA9" s="9">
        <v>1426.2411627158544</v>
      </c>
      <c r="AB9" s="9">
        <v>1738.6709997663888</v>
      </c>
      <c r="AC9" s="9">
        <v>2064.6559293998166</v>
      </c>
      <c r="AD9" s="9">
        <v>1637.5392521043641</v>
      </c>
      <c r="AE9" s="70">
        <v>1426.2411627158544</v>
      </c>
    </row>
    <row r="10" spans="2:31" x14ac:dyDescent="0.25">
      <c r="B10" s="101">
        <v>5</v>
      </c>
      <c r="C10" s="102" t="s">
        <v>24</v>
      </c>
      <c r="D10" s="102">
        <v>0</v>
      </c>
      <c r="E10" s="102">
        <v>2.5</v>
      </c>
      <c r="F10" s="102">
        <v>4</v>
      </c>
      <c r="G10" s="103">
        <v>200</v>
      </c>
      <c r="H10" s="69">
        <v>-9119.9685336512339</v>
      </c>
      <c r="I10" s="9">
        <v>-599.78880146733536</v>
      </c>
      <c r="J10" s="9">
        <v>7759.0779942610452</v>
      </c>
      <c r="K10" s="9">
        <v>16651.77129408723</v>
      </c>
      <c r="L10" s="9">
        <v>-16688.036312778266</v>
      </c>
      <c r="M10" s="9">
        <v>-11481.011396488724</v>
      </c>
      <c r="N10" s="9">
        <v>1218.8648990392858</v>
      </c>
      <c r="O10" s="70">
        <v>12259.090856997989</v>
      </c>
      <c r="P10" s="69">
        <v>-909.97063849819438</v>
      </c>
      <c r="Q10" s="9">
        <v>-1181.6274144312201</v>
      </c>
      <c r="R10" s="9">
        <v>-1598.3728771725202</v>
      </c>
      <c r="S10" s="9">
        <v>-1992.8386638471102</v>
      </c>
      <c r="T10" s="9">
        <v>-1931.4341584763281</v>
      </c>
      <c r="U10" s="9">
        <v>-1659.7773825433023</v>
      </c>
      <c r="V10" s="9">
        <v>-1243.0319198020022</v>
      </c>
      <c r="W10" s="9">
        <v>-848.56613312741217</v>
      </c>
      <c r="X10" s="69">
        <v>3059.9615633865546</v>
      </c>
      <c r="Y10" s="9">
        <v>3331.6156714144113</v>
      </c>
      <c r="Z10" s="9">
        <v>2975.6851070015341</v>
      </c>
      <c r="AA10" s="9">
        <v>2799.6033658444426</v>
      </c>
      <c r="AB10" s="9">
        <v>3059.9615633865546</v>
      </c>
      <c r="AC10" s="9">
        <v>3331.6156714144113</v>
      </c>
      <c r="AD10" s="9">
        <v>2975.6851070015341</v>
      </c>
      <c r="AE10" s="70">
        <v>2799.6033658444426</v>
      </c>
    </row>
    <row r="11" spans="2:31" x14ac:dyDescent="0.25">
      <c r="B11" s="101">
        <v>6</v>
      </c>
      <c r="C11" s="102" t="s">
        <v>25</v>
      </c>
      <c r="D11" s="102">
        <v>2.6</v>
      </c>
      <c r="E11" s="102">
        <v>2.5</v>
      </c>
      <c r="F11" s="102">
        <v>1</v>
      </c>
      <c r="G11" s="103">
        <v>320</v>
      </c>
      <c r="H11" s="69">
        <v>1770.9805507477847</v>
      </c>
      <c r="I11" s="9">
        <v>5138.6373882071121</v>
      </c>
      <c r="J11" s="9">
        <v>5593.0794528677579</v>
      </c>
      <c r="K11" s="9">
        <v>7003.9273614070571</v>
      </c>
      <c r="L11" s="9">
        <v>-5797.0872283792487</v>
      </c>
      <c r="M11" s="9">
        <v>-5742.5852068142767</v>
      </c>
      <c r="N11" s="9">
        <v>-947.13364235400195</v>
      </c>
      <c r="O11" s="70">
        <v>2611.2469243178152</v>
      </c>
      <c r="P11" s="69">
        <v>-909.97063849819438</v>
      </c>
      <c r="Q11" s="9">
        <v>-1181.6274144312201</v>
      </c>
      <c r="R11" s="9">
        <v>-1598.3728771725202</v>
      </c>
      <c r="S11" s="9">
        <v>-1992.8386638471102</v>
      </c>
      <c r="T11" s="9">
        <v>-1931.4341584763281</v>
      </c>
      <c r="U11" s="9">
        <v>-1659.7773825433023</v>
      </c>
      <c r="V11" s="9">
        <v>-1243.0319198020022</v>
      </c>
      <c r="W11" s="9">
        <v>-848.56613312741217</v>
      </c>
      <c r="X11" s="69">
        <v>1994.9728832733201</v>
      </c>
      <c r="Y11" s="9">
        <v>2266.6269913011765</v>
      </c>
      <c r="Z11" s="9">
        <v>1910.6964268882994</v>
      </c>
      <c r="AA11" s="9">
        <v>1734.6146857312078</v>
      </c>
      <c r="AB11" s="9">
        <v>1994.9728832733201</v>
      </c>
      <c r="AC11" s="9">
        <v>2266.6269913011765</v>
      </c>
      <c r="AD11" s="9">
        <v>1910.6964268882994</v>
      </c>
      <c r="AE11" s="70">
        <v>1734.6146857312078</v>
      </c>
    </row>
    <row r="12" spans="2:31" x14ac:dyDescent="0.25">
      <c r="B12" s="101">
        <v>7</v>
      </c>
      <c r="C12" s="102" t="s">
        <v>26</v>
      </c>
      <c r="D12" s="102">
        <v>-2.5</v>
      </c>
      <c r="E12" s="102">
        <v>0</v>
      </c>
      <c r="F12" s="102">
        <v>5</v>
      </c>
      <c r="G12" s="103">
        <v>0</v>
      </c>
      <c r="H12" s="69">
        <v>-18401.163886037339</v>
      </c>
      <c r="I12" s="9">
        <v>-9229.3504783263015</v>
      </c>
      <c r="J12" s="9">
        <v>4841.0205243677337</v>
      </c>
      <c r="K12" s="9">
        <v>18159.173839995899</v>
      </c>
      <c r="L12" s="9">
        <v>-18401.163886037339</v>
      </c>
      <c r="M12" s="9">
        <v>-9229.3504783263015</v>
      </c>
      <c r="N12" s="9">
        <v>4841.0205243677337</v>
      </c>
      <c r="O12" s="70">
        <v>18159.173839995899</v>
      </c>
      <c r="P12" s="6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69">
        <v>2475.6288714171978</v>
      </c>
      <c r="Y12" s="9">
        <v>2475.6288714171978</v>
      </c>
      <c r="Z12" s="9">
        <v>2475.6288714171978</v>
      </c>
      <c r="AA12" s="9">
        <v>2475.6288714171978</v>
      </c>
      <c r="AB12" s="9">
        <v>2475.6288714171978</v>
      </c>
      <c r="AC12" s="9">
        <v>2475.6288714171978</v>
      </c>
      <c r="AD12" s="9">
        <v>2475.6288714171978</v>
      </c>
      <c r="AE12" s="70">
        <v>2475.6288714171978</v>
      </c>
    </row>
    <row r="13" spans="2:31" x14ac:dyDescent="0.25">
      <c r="B13" s="101">
        <v>8</v>
      </c>
      <c r="C13" s="102" t="s">
        <v>27</v>
      </c>
      <c r="D13" s="102">
        <v>-1.6</v>
      </c>
      <c r="E13" s="102">
        <v>0</v>
      </c>
      <c r="F13" s="102">
        <v>1</v>
      </c>
      <c r="G13" s="103">
        <v>150</v>
      </c>
      <c r="H13" s="69">
        <v>-10277.998983981422</v>
      </c>
      <c r="I13" s="9">
        <v>-5880.8322445578342</v>
      </c>
      <c r="J13" s="9">
        <v>864.80949869660844</v>
      </c>
      <c r="K13" s="9">
        <v>7249.8217298426453</v>
      </c>
      <c r="L13" s="9">
        <v>-10277.998983981422</v>
      </c>
      <c r="M13" s="9">
        <v>-5880.8322445578342</v>
      </c>
      <c r="N13" s="9">
        <v>864.80949869660844</v>
      </c>
      <c r="O13" s="70">
        <v>7249.8217298426453</v>
      </c>
      <c r="P13" s="6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69">
        <v>427.73505291268577</v>
      </c>
      <c r="Y13" s="9">
        <v>427.73505291268577</v>
      </c>
      <c r="Z13" s="9">
        <v>427.73505291268577</v>
      </c>
      <c r="AA13" s="9">
        <v>427.73505291268577</v>
      </c>
      <c r="AB13" s="9">
        <v>427.73505291268577</v>
      </c>
      <c r="AC13" s="9">
        <v>427.73505291268577</v>
      </c>
      <c r="AD13" s="9">
        <v>427.73505291268577</v>
      </c>
      <c r="AE13" s="70">
        <v>427.73505291268577</v>
      </c>
    </row>
    <row r="14" spans="2:31" x14ac:dyDescent="0.25">
      <c r="B14" s="101">
        <v>9</v>
      </c>
      <c r="C14" s="102" t="s">
        <v>28</v>
      </c>
      <c r="D14" s="102">
        <v>-2</v>
      </c>
      <c r="E14" s="102">
        <v>0</v>
      </c>
      <c r="F14" s="102">
        <v>5</v>
      </c>
      <c r="G14" s="103">
        <v>150</v>
      </c>
      <c r="H14" s="69">
        <v>-23718.436309947458</v>
      </c>
      <c r="I14" s="9">
        <v>-12439.756990677573</v>
      </c>
      <c r="J14" s="9">
        <v>4862.7322105440489</v>
      </c>
      <c r="K14" s="9">
        <v>21240.211090080971</v>
      </c>
      <c r="L14" s="9">
        <v>-23718.436309947458</v>
      </c>
      <c r="M14" s="9">
        <v>-12439.756990677573</v>
      </c>
      <c r="N14" s="9">
        <v>4862.7322105440489</v>
      </c>
      <c r="O14" s="70">
        <v>21240.211090080971</v>
      </c>
      <c r="P14" s="6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69">
        <v>2642.3347424031317</v>
      </c>
      <c r="Y14" s="9">
        <v>2642.3347424031317</v>
      </c>
      <c r="Z14" s="9">
        <v>2642.3347424031317</v>
      </c>
      <c r="AA14" s="9">
        <v>2642.3347424031317</v>
      </c>
      <c r="AB14" s="9">
        <v>2642.3347424031317</v>
      </c>
      <c r="AC14" s="9">
        <v>2642.3347424031317</v>
      </c>
      <c r="AD14" s="9">
        <v>2642.3347424031317</v>
      </c>
      <c r="AE14" s="70">
        <v>2642.3347424031317</v>
      </c>
    </row>
    <row r="15" spans="2:31" ht="15.75" thickBot="1" x14ac:dyDescent="0.3">
      <c r="B15" s="104">
        <v>10</v>
      </c>
      <c r="C15" s="105" t="s">
        <v>29</v>
      </c>
      <c r="D15" s="105">
        <v>0</v>
      </c>
      <c r="E15" s="105">
        <v>0</v>
      </c>
      <c r="F15" s="105">
        <v>5</v>
      </c>
      <c r="G15" s="106">
        <v>320</v>
      </c>
      <c r="H15" s="71">
        <v>-13969.717370193599</v>
      </c>
      <c r="I15" s="72">
        <v>-6539.2642854596124</v>
      </c>
      <c r="J15" s="72">
        <v>4859.7063403952125</v>
      </c>
      <c r="K15" s="72">
        <v>15649.275315257995</v>
      </c>
      <c r="L15" s="72">
        <v>-13969.717370193599</v>
      </c>
      <c r="M15" s="72">
        <v>-6539.2642854596124</v>
      </c>
      <c r="N15" s="72">
        <v>4859.7063403952125</v>
      </c>
      <c r="O15" s="73">
        <v>15649.275315257995</v>
      </c>
      <c r="P15" s="71">
        <v>-5491.2273199040737</v>
      </c>
      <c r="Q15" s="72">
        <v>-2570.4590683419942</v>
      </c>
      <c r="R15" s="72">
        <v>1910.2571309013829</v>
      </c>
      <c r="S15" s="72">
        <v>6151.4292573446846</v>
      </c>
      <c r="T15" s="72">
        <v>5491.2273199040737</v>
      </c>
      <c r="U15" s="72">
        <v>2570.4590683419942</v>
      </c>
      <c r="V15" s="72">
        <v>-1910.2571309013829</v>
      </c>
      <c r="W15" s="72">
        <v>-6151.4292573446846</v>
      </c>
      <c r="X15" s="71">
        <v>-3806.3189706019439</v>
      </c>
      <c r="Y15" s="72">
        <v>-6727.0585376863783</v>
      </c>
      <c r="Z15" s="72">
        <v>-2900.2050063244214</v>
      </c>
      <c r="AA15" s="72">
        <v>-1007.0294818596867</v>
      </c>
      <c r="AB15" s="72">
        <v>-3806.3189706019439</v>
      </c>
      <c r="AC15" s="72">
        <v>-6727.0585376863783</v>
      </c>
      <c r="AD15" s="72">
        <v>-2900.2050063244214</v>
      </c>
      <c r="AE15" s="73">
        <v>-1007.0294818596867</v>
      </c>
    </row>
    <row r="16" spans="2:31" ht="15.75" thickBot="1" x14ac:dyDescent="0.3"/>
    <row r="17" spans="2:31" ht="15.75" thickBot="1" x14ac:dyDescent="0.3">
      <c r="H17" s="110" t="s">
        <v>100</v>
      </c>
      <c r="I17" s="111"/>
      <c r="J17" s="111"/>
      <c r="K17" s="111"/>
      <c r="L17" s="111"/>
      <c r="M17" s="111"/>
      <c r="N17" s="111"/>
      <c r="O17" s="112"/>
      <c r="P17" s="110" t="s">
        <v>33</v>
      </c>
      <c r="Q17" s="111"/>
      <c r="R17" s="111"/>
      <c r="S17" s="111"/>
      <c r="T17" s="111"/>
      <c r="U17" s="111"/>
      <c r="V17" s="111"/>
      <c r="W17" s="112"/>
      <c r="X17" s="110" t="s">
        <v>131</v>
      </c>
      <c r="Y17" s="111"/>
      <c r="Z17" s="111"/>
      <c r="AA17" s="111"/>
      <c r="AB17" s="111"/>
      <c r="AC17" s="111"/>
      <c r="AD17" s="111"/>
      <c r="AE17" s="112"/>
    </row>
    <row r="18" spans="2:31" x14ac:dyDescent="0.25">
      <c r="B18" s="65" t="s">
        <v>6</v>
      </c>
      <c r="C18" s="66" t="s">
        <v>7</v>
      </c>
      <c r="D18" s="66"/>
      <c r="E18" s="66"/>
      <c r="F18" s="66"/>
      <c r="G18" s="66"/>
      <c r="H18" s="83" t="s">
        <v>12</v>
      </c>
      <c r="I18" s="82" t="s">
        <v>13</v>
      </c>
      <c r="J18" s="82" t="s">
        <v>14</v>
      </c>
      <c r="K18" s="82" t="s">
        <v>15</v>
      </c>
      <c r="L18" s="82" t="s">
        <v>16</v>
      </c>
      <c r="M18" s="82" t="s">
        <v>17</v>
      </c>
      <c r="N18" s="82" t="s">
        <v>18</v>
      </c>
      <c r="O18" s="84" t="s">
        <v>19</v>
      </c>
      <c r="P18" s="82" t="s">
        <v>12</v>
      </c>
      <c r="Q18" s="82" t="s">
        <v>13</v>
      </c>
      <c r="R18" s="82" t="s">
        <v>14</v>
      </c>
      <c r="S18" s="82" t="s">
        <v>15</v>
      </c>
      <c r="T18" s="82" t="s">
        <v>16</v>
      </c>
      <c r="U18" s="82" t="s">
        <v>17</v>
      </c>
      <c r="V18" s="82" t="s">
        <v>18</v>
      </c>
      <c r="W18" s="84" t="s">
        <v>19</v>
      </c>
      <c r="X18" s="22" t="s">
        <v>12</v>
      </c>
      <c r="Y18" s="23" t="s">
        <v>13</v>
      </c>
      <c r="Z18" s="23" t="s">
        <v>14</v>
      </c>
      <c r="AA18" s="23" t="s">
        <v>15</v>
      </c>
      <c r="AB18" s="23" t="s">
        <v>16</v>
      </c>
      <c r="AC18" s="23" t="s">
        <v>17</v>
      </c>
      <c r="AD18" s="23" t="s">
        <v>18</v>
      </c>
      <c r="AE18" s="24" t="s">
        <v>19</v>
      </c>
    </row>
    <row r="19" spans="2:31" x14ac:dyDescent="0.25">
      <c r="B19" s="25">
        <v>1</v>
      </c>
      <c r="C19" s="1" t="s">
        <v>20</v>
      </c>
      <c r="D19" s="1"/>
      <c r="E19" s="1"/>
      <c r="F19" s="1"/>
      <c r="G19" s="1"/>
      <c r="H19" s="69">
        <v>1520.7578581328144</v>
      </c>
      <c r="I19" s="9">
        <v>1520.7578581328144</v>
      </c>
      <c r="J19" s="9">
        <v>1520.7578581328144</v>
      </c>
      <c r="K19" s="9">
        <v>1520.7578581328144</v>
      </c>
      <c r="L19" s="9">
        <v>1520.7578581328144</v>
      </c>
      <c r="M19" s="9">
        <v>1520.7578581328144</v>
      </c>
      <c r="N19" s="9">
        <v>1520.7578581328144</v>
      </c>
      <c r="O19" s="70">
        <v>1520.7578581328144</v>
      </c>
      <c r="P19" s="11">
        <f t="shared" ref="P19:W28" si="0">H19/$D$33*$D$34</f>
        <v>7798.7582468349456</v>
      </c>
      <c r="Q19" s="11">
        <f t="shared" si="0"/>
        <v>7798.7582468349456</v>
      </c>
      <c r="R19" s="11">
        <f t="shared" si="0"/>
        <v>7798.7582468349456</v>
      </c>
      <c r="S19" s="11">
        <f t="shared" si="0"/>
        <v>7798.7582468349456</v>
      </c>
      <c r="T19" s="11">
        <f t="shared" si="0"/>
        <v>7798.7582468349456</v>
      </c>
      <c r="U19" s="11">
        <f t="shared" si="0"/>
        <v>7798.7582468349456</v>
      </c>
      <c r="V19" s="11">
        <f t="shared" si="0"/>
        <v>7798.7582468349456</v>
      </c>
      <c r="W19" s="75">
        <f t="shared" si="0"/>
        <v>7798.7582468349456</v>
      </c>
      <c r="X19" s="78">
        <f>H19/$D$33</f>
        <v>3899.3791234174728</v>
      </c>
      <c r="Y19" s="12">
        <f t="shared" ref="Y19:AE28" si="1">I19/$D$33</f>
        <v>3899.3791234174728</v>
      </c>
      <c r="Z19" s="12">
        <f t="shared" si="1"/>
        <v>3899.3791234174728</v>
      </c>
      <c r="AA19" s="12">
        <f t="shared" si="1"/>
        <v>3899.3791234174728</v>
      </c>
      <c r="AB19" s="12">
        <f t="shared" si="1"/>
        <v>3899.3791234174728</v>
      </c>
      <c r="AC19" s="12">
        <f t="shared" si="1"/>
        <v>3899.3791234174728</v>
      </c>
      <c r="AD19" s="12">
        <f t="shared" si="1"/>
        <v>3899.3791234174728</v>
      </c>
      <c r="AE19" s="74">
        <f t="shared" si="1"/>
        <v>3899.3791234174728</v>
      </c>
    </row>
    <row r="20" spans="2:31" x14ac:dyDescent="0.25">
      <c r="B20" s="27">
        <v>2</v>
      </c>
      <c r="C20" s="3" t="s">
        <v>21</v>
      </c>
      <c r="D20" s="3"/>
      <c r="E20" s="3"/>
      <c r="F20" s="3"/>
      <c r="G20" s="3"/>
      <c r="H20" s="69">
        <v>3267.1643629098844</v>
      </c>
      <c r="I20" s="9">
        <v>3267.1643629098844</v>
      </c>
      <c r="J20" s="9">
        <v>3267.1643629098844</v>
      </c>
      <c r="K20" s="9">
        <v>3267.1643629098844</v>
      </c>
      <c r="L20" s="9">
        <v>3267.1643629098844</v>
      </c>
      <c r="M20" s="9">
        <v>3267.1643629098844</v>
      </c>
      <c r="N20" s="9">
        <v>3267.1643629098844</v>
      </c>
      <c r="O20" s="70">
        <v>3267.1643629098844</v>
      </c>
      <c r="P20" s="11">
        <f t="shared" si="0"/>
        <v>16754.689040563509</v>
      </c>
      <c r="Q20" s="11">
        <f t="shared" si="0"/>
        <v>16754.689040563509</v>
      </c>
      <c r="R20" s="11">
        <f t="shared" si="0"/>
        <v>16754.689040563509</v>
      </c>
      <c r="S20" s="11">
        <f t="shared" si="0"/>
        <v>16754.689040563509</v>
      </c>
      <c r="T20" s="11">
        <f t="shared" si="0"/>
        <v>16754.689040563509</v>
      </c>
      <c r="U20" s="11">
        <f t="shared" si="0"/>
        <v>16754.689040563509</v>
      </c>
      <c r="V20" s="11">
        <f t="shared" si="0"/>
        <v>16754.689040563509</v>
      </c>
      <c r="W20" s="75">
        <f t="shared" si="0"/>
        <v>16754.689040563509</v>
      </c>
      <c r="X20" s="79">
        <f t="shared" ref="X20:X28" si="2">H20/$D$33</f>
        <v>8377.3445202817547</v>
      </c>
      <c r="Y20" s="11">
        <f t="shared" si="1"/>
        <v>8377.3445202817547</v>
      </c>
      <c r="Z20" s="11">
        <f t="shared" si="1"/>
        <v>8377.3445202817547</v>
      </c>
      <c r="AA20" s="11">
        <f t="shared" si="1"/>
        <v>8377.3445202817547</v>
      </c>
      <c r="AB20" s="11">
        <f t="shared" si="1"/>
        <v>8377.3445202817547</v>
      </c>
      <c r="AC20" s="11">
        <f t="shared" si="1"/>
        <v>8377.3445202817547</v>
      </c>
      <c r="AD20" s="11">
        <f t="shared" si="1"/>
        <v>8377.3445202817547</v>
      </c>
      <c r="AE20" s="75">
        <f t="shared" si="1"/>
        <v>8377.3445202817547</v>
      </c>
    </row>
    <row r="21" spans="2:31" x14ac:dyDescent="0.25">
      <c r="B21" s="27">
        <v>3</v>
      </c>
      <c r="C21" s="3" t="s">
        <v>22</v>
      </c>
      <c r="D21" s="3"/>
      <c r="E21" s="3"/>
      <c r="F21" s="3"/>
      <c r="G21" s="3"/>
      <c r="H21" s="69">
        <v>2942.6558905217917</v>
      </c>
      <c r="I21" s="9">
        <v>2942.6558905217917</v>
      </c>
      <c r="J21" s="9">
        <v>2942.6558905217917</v>
      </c>
      <c r="K21" s="9">
        <v>2942.6558905217917</v>
      </c>
      <c r="L21" s="9">
        <v>2942.6558905217917</v>
      </c>
      <c r="M21" s="9">
        <v>2942.6558905217917</v>
      </c>
      <c r="N21" s="9">
        <v>2942.6558905217917</v>
      </c>
      <c r="O21" s="70">
        <v>2942.6558905217917</v>
      </c>
      <c r="P21" s="11">
        <f t="shared" si="0"/>
        <v>15090.543028316879</v>
      </c>
      <c r="Q21" s="11">
        <f t="shared" si="0"/>
        <v>15090.543028316879</v>
      </c>
      <c r="R21" s="11">
        <f t="shared" si="0"/>
        <v>15090.543028316879</v>
      </c>
      <c r="S21" s="11">
        <f t="shared" si="0"/>
        <v>15090.543028316879</v>
      </c>
      <c r="T21" s="11">
        <f t="shared" si="0"/>
        <v>15090.543028316879</v>
      </c>
      <c r="U21" s="11">
        <f t="shared" si="0"/>
        <v>15090.543028316879</v>
      </c>
      <c r="V21" s="11">
        <f t="shared" si="0"/>
        <v>15090.543028316879</v>
      </c>
      <c r="W21" s="75">
        <f t="shared" si="0"/>
        <v>15090.543028316879</v>
      </c>
      <c r="X21" s="79">
        <f t="shared" si="2"/>
        <v>7545.2715141584395</v>
      </c>
      <c r="Y21" s="11">
        <f t="shared" si="1"/>
        <v>7545.2715141584395</v>
      </c>
      <c r="Z21" s="11">
        <f t="shared" si="1"/>
        <v>7545.2715141584395</v>
      </c>
      <c r="AA21" s="11">
        <f t="shared" si="1"/>
        <v>7545.2715141584395</v>
      </c>
      <c r="AB21" s="11">
        <f t="shared" si="1"/>
        <v>7545.2715141584395</v>
      </c>
      <c r="AC21" s="11">
        <f t="shared" si="1"/>
        <v>7545.2715141584395</v>
      </c>
      <c r="AD21" s="11">
        <f t="shared" si="1"/>
        <v>7545.2715141584395</v>
      </c>
      <c r="AE21" s="75">
        <f t="shared" si="1"/>
        <v>7545.2715141584395</v>
      </c>
    </row>
    <row r="22" spans="2:31" x14ac:dyDescent="0.25">
      <c r="B22" s="27">
        <v>4</v>
      </c>
      <c r="C22" s="3" t="s">
        <v>23</v>
      </c>
      <c r="D22" s="3"/>
      <c r="E22" s="3"/>
      <c r="F22" s="3"/>
      <c r="G22" s="3"/>
      <c r="H22" s="69">
        <v>2053.1351382814878</v>
      </c>
      <c r="I22" s="9">
        <v>2504.6745349080411</v>
      </c>
      <c r="J22" s="9">
        <v>2521.9914418242611</v>
      </c>
      <c r="K22" s="9">
        <v>2784.4188636057497</v>
      </c>
      <c r="L22" s="9">
        <v>2897.3794079669033</v>
      </c>
      <c r="M22" s="9">
        <v>2868.7634772900196</v>
      </c>
      <c r="N22" s="9">
        <v>2215.0665072258435</v>
      </c>
      <c r="O22" s="70">
        <v>1752.4430686113142</v>
      </c>
      <c r="P22" s="11">
        <f t="shared" si="0"/>
        <v>10528.89814503327</v>
      </c>
      <c r="Q22" s="11">
        <f t="shared" si="0"/>
        <v>12844.48479440021</v>
      </c>
      <c r="R22" s="11">
        <f t="shared" si="0"/>
        <v>12933.28944525262</v>
      </c>
      <c r="S22" s="11">
        <f t="shared" si="0"/>
        <v>14279.071095414101</v>
      </c>
      <c r="T22" s="11">
        <f t="shared" si="0"/>
        <v>14858.355938291812</v>
      </c>
      <c r="U22" s="11">
        <f t="shared" si="0"/>
        <v>14711.607575846254</v>
      </c>
      <c r="V22" s="11">
        <f t="shared" si="0"/>
        <v>11359.315421670992</v>
      </c>
      <c r="W22" s="75">
        <f t="shared" si="0"/>
        <v>8986.8875313400731</v>
      </c>
      <c r="X22" s="79">
        <f t="shared" si="2"/>
        <v>5264.4490725166352</v>
      </c>
      <c r="Y22" s="11">
        <f t="shared" si="1"/>
        <v>6422.2423972001052</v>
      </c>
      <c r="Z22" s="11">
        <f t="shared" si="1"/>
        <v>6466.6447226263099</v>
      </c>
      <c r="AA22" s="11">
        <f t="shared" si="1"/>
        <v>7139.5355477070507</v>
      </c>
      <c r="AB22" s="11">
        <f t="shared" si="1"/>
        <v>7429.177969145906</v>
      </c>
      <c r="AC22" s="11">
        <f t="shared" si="1"/>
        <v>7355.8037879231269</v>
      </c>
      <c r="AD22" s="11">
        <f t="shared" si="1"/>
        <v>5679.6577108354959</v>
      </c>
      <c r="AE22" s="75">
        <f t="shared" si="1"/>
        <v>4493.4437656700366</v>
      </c>
    </row>
    <row r="23" spans="2:31" x14ac:dyDescent="0.25">
      <c r="B23" s="27">
        <v>5</v>
      </c>
      <c r="C23" s="3" t="s">
        <v>24</v>
      </c>
      <c r="D23" s="3"/>
      <c r="E23" s="3"/>
      <c r="F23" s="3"/>
      <c r="G23" s="3"/>
      <c r="H23" s="69">
        <v>3192.3989932857544</v>
      </c>
      <c r="I23" s="9">
        <v>3534.9549259572618</v>
      </c>
      <c r="J23" s="9">
        <v>3377.7947999414487</v>
      </c>
      <c r="K23" s="9">
        <v>3436.4494680078546</v>
      </c>
      <c r="L23" s="9">
        <v>3618.5359854411076</v>
      </c>
      <c r="M23" s="9">
        <v>3722.1665655390002</v>
      </c>
      <c r="N23" s="9">
        <v>3224.8767743399721</v>
      </c>
      <c r="O23" s="70">
        <v>2925.3792041953025</v>
      </c>
      <c r="P23" s="11">
        <f t="shared" si="0"/>
        <v>16371.276888644894</v>
      </c>
      <c r="Q23" s="11">
        <f t="shared" si="0"/>
        <v>18127.973979268008</v>
      </c>
      <c r="R23" s="11">
        <f t="shared" si="0"/>
        <v>17322.024615084352</v>
      </c>
      <c r="S23" s="11">
        <f t="shared" si="0"/>
        <v>17622.817784655665</v>
      </c>
      <c r="T23" s="11">
        <f t="shared" si="0"/>
        <v>18556.594797133886</v>
      </c>
      <c r="U23" s="11">
        <f t="shared" si="0"/>
        <v>19088.03366943077</v>
      </c>
      <c r="V23" s="11">
        <f t="shared" si="0"/>
        <v>16537.829611999856</v>
      </c>
      <c r="W23" s="75">
        <f t="shared" si="0"/>
        <v>15001.944636898987</v>
      </c>
      <c r="X23" s="79">
        <f t="shared" si="2"/>
        <v>8185.638444322447</v>
      </c>
      <c r="Y23" s="11">
        <f t="shared" si="1"/>
        <v>9063.9869896340042</v>
      </c>
      <c r="Z23" s="11">
        <f t="shared" si="1"/>
        <v>8661.0123075421761</v>
      </c>
      <c r="AA23" s="11">
        <f t="shared" si="1"/>
        <v>8811.4088923278323</v>
      </c>
      <c r="AB23" s="11">
        <f t="shared" si="1"/>
        <v>9278.2973985669432</v>
      </c>
      <c r="AC23" s="11">
        <f t="shared" si="1"/>
        <v>9544.0168347153849</v>
      </c>
      <c r="AD23" s="11">
        <f t="shared" si="1"/>
        <v>8268.9148059999279</v>
      </c>
      <c r="AE23" s="75">
        <f t="shared" si="1"/>
        <v>7500.9723184494933</v>
      </c>
    </row>
    <row r="24" spans="2:31" x14ac:dyDescent="0.25">
      <c r="B24" s="27">
        <v>6</v>
      </c>
      <c r="C24" s="3" t="s">
        <v>25</v>
      </c>
      <c r="D24" s="3"/>
      <c r="E24" s="3"/>
      <c r="F24" s="3"/>
      <c r="G24" s="3"/>
      <c r="H24" s="69">
        <v>2192.7068586394935</v>
      </c>
      <c r="I24" s="9">
        <v>2556.1379587632659</v>
      </c>
      <c r="J24" s="9">
        <v>2491.0954799454144</v>
      </c>
      <c r="K24" s="9">
        <v>2642.0246115580208</v>
      </c>
      <c r="L24" s="9">
        <v>2776.7525481261423</v>
      </c>
      <c r="M24" s="9">
        <v>2809.3520386910072</v>
      </c>
      <c r="N24" s="9">
        <v>2279.4493171313034</v>
      </c>
      <c r="O24" s="70">
        <v>1931.0496084371282</v>
      </c>
      <c r="P24" s="11">
        <f t="shared" si="0"/>
        <v>11244.650557125608</v>
      </c>
      <c r="Q24" s="11">
        <f t="shared" si="0"/>
        <v>13108.399788529568</v>
      </c>
      <c r="R24" s="11">
        <f t="shared" si="0"/>
        <v>12774.848615104689</v>
      </c>
      <c r="S24" s="11">
        <f t="shared" si="0"/>
        <v>13548.844161836003</v>
      </c>
      <c r="T24" s="11">
        <f t="shared" si="0"/>
        <v>14239.75665705714</v>
      </c>
      <c r="U24" s="11">
        <f t="shared" si="0"/>
        <v>14406.933531748755</v>
      </c>
      <c r="V24" s="11">
        <f t="shared" si="0"/>
        <v>11689.483677596427</v>
      </c>
      <c r="W24" s="75">
        <f t="shared" si="0"/>
        <v>9902.8185048057858</v>
      </c>
      <c r="X24" s="79">
        <f t="shared" si="2"/>
        <v>5622.3252785628038</v>
      </c>
      <c r="Y24" s="11">
        <f t="shared" si="1"/>
        <v>6554.1998942647842</v>
      </c>
      <c r="Z24" s="11">
        <f t="shared" si="1"/>
        <v>6387.4243075523445</v>
      </c>
      <c r="AA24" s="11">
        <f t="shared" si="1"/>
        <v>6774.4220809180015</v>
      </c>
      <c r="AB24" s="11">
        <f t="shared" si="1"/>
        <v>7119.8783285285699</v>
      </c>
      <c r="AC24" s="11">
        <f t="shared" si="1"/>
        <v>7203.4667658743774</v>
      </c>
      <c r="AD24" s="11">
        <f t="shared" si="1"/>
        <v>5844.7418387982134</v>
      </c>
      <c r="AE24" s="75">
        <f t="shared" si="1"/>
        <v>4951.4092524028929</v>
      </c>
    </row>
    <row r="25" spans="2:31" x14ac:dyDescent="0.25">
      <c r="B25" s="27">
        <v>7</v>
      </c>
      <c r="C25" s="3" t="s">
        <v>26</v>
      </c>
      <c r="D25" s="3"/>
      <c r="E25" s="3"/>
      <c r="F25" s="3"/>
      <c r="G25" s="3"/>
      <c r="H25" s="69">
        <v>2475.6288714171978</v>
      </c>
      <c r="I25" s="9">
        <v>2475.6288714171978</v>
      </c>
      <c r="J25" s="9">
        <v>2475.6288714171978</v>
      </c>
      <c r="K25" s="9">
        <v>2475.6288714171978</v>
      </c>
      <c r="L25" s="9">
        <v>2475.6288714171978</v>
      </c>
      <c r="M25" s="9">
        <v>2475.6288714171978</v>
      </c>
      <c r="N25" s="9">
        <v>2475.6288714171978</v>
      </c>
      <c r="O25" s="70">
        <v>2475.6288714171978</v>
      </c>
      <c r="P25" s="11">
        <f t="shared" si="0"/>
        <v>12695.532673934347</v>
      </c>
      <c r="Q25" s="11">
        <f t="shared" si="0"/>
        <v>12695.532673934347</v>
      </c>
      <c r="R25" s="11">
        <f t="shared" si="0"/>
        <v>12695.532673934347</v>
      </c>
      <c r="S25" s="11">
        <f t="shared" si="0"/>
        <v>12695.532673934347</v>
      </c>
      <c r="T25" s="11">
        <f t="shared" si="0"/>
        <v>12695.532673934347</v>
      </c>
      <c r="U25" s="11">
        <f t="shared" si="0"/>
        <v>12695.532673934347</v>
      </c>
      <c r="V25" s="11">
        <f t="shared" si="0"/>
        <v>12695.532673934347</v>
      </c>
      <c r="W25" s="75">
        <f t="shared" si="0"/>
        <v>12695.532673934347</v>
      </c>
      <c r="X25" s="79">
        <f t="shared" si="2"/>
        <v>6347.7663369671736</v>
      </c>
      <c r="Y25" s="11">
        <f t="shared" si="1"/>
        <v>6347.7663369671736</v>
      </c>
      <c r="Z25" s="11">
        <f t="shared" si="1"/>
        <v>6347.7663369671736</v>
      </c>
      <c r="AA25" s="11">
        <f t="shared" si="1"/>
        <v>6347.7663369671736</v>
      </c>
      <c r="AB25" s="11">
        <f t="shared" si="1"/>
        <v>6347.7663369671736</v>
      </c>
      <c r="AC25" s="11">
        <f t="shared" si="1"/>
        <v>6347.7663369671736</v>
      </c>
      <c r="AD25" s="11">
        <f t="shared" si="1"/>
        <v>6347.7663369671736</v>
      </c>
      <c r="AE25" s="75">
        <f t="shared" si="1"/>
        <v>6347.7663369671736</v>
      </c>
    </row>
    <row r="26" spans="2:31" x14ac:dyDescent="0.25">
      <c r="B26" s="27">
        <v>8</v>
      </c>
      <c r="C26" s="3" t="s">
        <v>27</v>
      </c>
      <c r="D26" s="3"/>
      <c r="E26" s="3"/>
      <c r="F26" s="3"/>
      <c r="G26" s="3"/>
      <c r="H26" s="69">
        <v>427.73505291268577</v>
      </c>
      <c r="I26" s="9">
        <v>427.73505291268577</v>
      </c>
      <c r="J26" s="9">
        <v>427.73505291268577</v>
      </c>
      <c r="K26" s="9">
        <v>427.73505291268577</v>
      </c>
      <c r="L26" s="9">
        <v>427.73505291268577</v>
      </c>
      <c r="M26" s="9">
        <v>427.73505291268577</v>
      </c>
      <c r="N26" s="9">
        <v>427.73505291268577</v>
      </c>
      <c r="O26" s="70">
        <v>427.73505291268577</v>
      </c>
      <c r="P26" s="11">
        <f t="shared" si="0"/>
        <v>2193.513091859927</v>
      </c>
      <c r="Q26" s="11">
        <f t="shared" si="0"/>
        <v>2193.513091859927</v>
      </c>
      <c r="R26" s="11">
        <f t="shared" si="0"/>
        <v>2193.513091859927</v>
      </c>
      <c r="S26" s="11">
        <f t="shared" si="0"/>
        <v>2193.513091859927</v>
      </c>
      <c r="T26" s="11">
        <f t="shared" si="0"/>
        <v>2193.513091859927</v>
      </c>
      <c r="U26" s="11">
        <f t="shared" si="0"/>
        <v>2193.513091859927</v>
      </c>
      <c r="V26" s="11">
        <f t="shared" si="0"/>
        <v>2193.513091859927</v>
      </c>
      <c r="W26" s="75">
        <f t="shared" si="0"/>
        <v>2193.513091859927</v>
      </c>
      <c r="X26" s="79">
        <f t="shared" si="2"/>
        <v>1096.7565459299635</v>
      </c>
      <c r="Y26" s="11">
        <f t="shared" si="1"/>
        <v>1096.7565459299635</v>
      </c>
      <c r="Z26" s="11">
        <f t="shared" si="1"/>
        <v>1096.7565459299635</v>
      </c>
      <c r="AA26" s="11">
        <f t="shared" si="1"/>
        <v>1096.7565459299635</v>
      </c>
      <c r="AB26" s="11">
        <f t="shared" si="1"/>
        <v>1096.7565459299635</v>
      </c>
      <c r="AC26" s="11">
        <f t="shared" si="1"/>
        <v>1096.7565459299635</v>
      </c>
      <c r="AD26" s="11">
        <f t="shared" si="1"/>
        <v>1096.7565459299635</v>
      </c>
      <c r="AE26" s="75">
        <f t="shared" si="1"/>
        <v>1096.7565459299635</v>
      </c>
    </row>
    <row r="27" spans="2:31" x14ac:dyDescent="0.25">
      <c r="B27" s="27">
        <v>9</v>
      </c>
      <c r="C27" s="3" t="s">
        <v>28</v>
      </c>
      <c r="D27" s="3"/>
      <c r="E27" s="3"/>
      <c r="F27" s="3"/>
      <c r="G27" s="3"/>
      <c r="H27" s="69">
        <v>2642.3347424031317</v>
      </c>
      <c r="I27" s="9">
        <v>2642.3347424031317</v>
      </c>
      <c r="J27" s="9">
        <v>2642.3347424031317</v>
      </c>
      <c r="K27" s="9">
        <v>2642.3347424031317</v>
      </c>
      <c r="L27" s="9">
        <v>2642.3347424031317</v>
      </c>
      <c r="M27" s="9">
        <v>2642.3347424031317</v>
      </c>
      <c r="N27" s="9">
        <v>2642.3347424031317</v>
      </c>
      <c r="O27" s="70">
        <v>2642.3347424031317</v>
      </c>
      <c r="P27" s="11">
        <f t="shared" si="0"/>
        <v>13550.434576426316</v>
      </c>
      <c r="Q27" s="11">
        <f t="shared" si="0"/>
        <v>13550.434576426316</v>
      </c>
      <c r="R27" s="11">
        <f t="shared" si="0"/>
        <v>13550.434576426316</v>
      </c>
      <c r="S27" s="11">
        <f t="shared" si="0"/>
        <v>13550.434576426316</v>
      </c>
      <c r="T27" s="11">
        <f t="shared" si="0"/>
        <v>13550.434576426316</v>
      </c>
      <c r="U27" s="11">
        <f t="shared" si="0"/>
        <v>13550.434576426316</v>
      </c>
      <c r="V27" s="11">
        <f t="shared" si="0"/>
        <v>13550.434576426316</v>
      </c>
      <c r="W27" s="75">
        <f t="shared" si="0"/>
        <v>13550.434576426316</v>
      </c>
      <c r="X27" s="79">
        <f t="shared" si="2"/>
        <v>6775.2172882131581</v>
      </c>
      <c r="Y27" s="11">
        <f t="shared" si="1"/>
        <v>6775.2172882131581</v>
      </c>
      <c r="Z27" s="11">
        <f t="shared" si="1"/>
        <v>6775.2172882131581</v>
      </c>
      <c r="AA27" s="11">
        <f t="shared" si="1"/>
        <v>6775.2172882131581</v>
      </c>
      <c r="AB27" s="11">
        <f t="shared" si="1"/>
        <v>6775.2172882131581</v>
      </c>
      <c r="AC27" s="11">
        <f t="shared" si="1"/>
        <v>6775.2172882131581</v>
      </c>
      <c r="AD27" s="11">
        <f t="shared" si="1"/>
        <v>6775.2172882131581</v>
      </c>
      <c r="AE27" s="75">
        <f t="shared" si="1"/>
        <v>6775.2172882131581</v>
      </c>
    </row>
    <row r="28" spans="2:31" ht="15.75" thickBot="1" x14ac:dyDescent="0.3">
      <c r="B28" s="41">
        <v>10</v>
      </c>
      <c r="C28" s="81" t="s">
        <v>29</v>
      </c>
      <c r="D28" s="81"/>
      <c r="E28" s="81"/>
      <c r="F28" s="81"/>
      <c r="G28" s="81"/>
      <c r="H28" s="71">
        <v>6681.4400831576058</v>
      </c>
      <c r="I28" s="72">
        <v>7201.428774311441</v>
      </c>
      <c r="J28" s="72">
        <v>3472.790144087146</v>
      </c>
      <c r="K28" s="72">
        <v>6233.3129462149391</v>
      </c>
      <c r="L28" s="72">
        <v>6681.4400831576058</v>
      </c>
      <c r="M28" s="72">
        <v>7201.428774311441</v>
      </c>
      <c r="N28" s="72">
        <v>3472.790144087146</v>
      </c>
      <c r="O28" s="73">
        <v>6233.3129462149391</v>
      </c>
      <c r="P28" s="76">
        <f t="shared" si="0"/>
        <v>34263.795298244135</v>
      </c>
      <c r="Q28" s="76">
        <f t="shared" si="0"/>
        <v>36930.403970827902</v>
      </c>
      <c r="R28" s="76">
        <f t="shared" si="0"/>
        <v>17809.180226087927</v>
      </c>
      <c r="S28" s="76">
        <f t="shared" si="0"/>
        <v>31965.707416486865</v>
      </c>
      <c r="T28" s="76">
        <f t="shared" si="0"/>
        <v>34263.795298244135</v>
      </c>
      <c r="U28" s="76">
        <f t="shared" si="0"/>
        <v>36930.403970827902</v>
      </c>
      <c r="V28" s="76">
        <f t="shared" si="0"/>
        <v>17809.180226087927</v>
      </c>
      <c r="W28" s="77">
        <f t="shared" si="0"/>
        <v>31965.707416486865</v>
      </c>
      <c r="X28" s="80">
        <f t="shared" si="2"/>
        <v>17131.897649122067</v>
      </c>
      <c r="Y28" s="76">
        <f t="shared" si="1"/>
        <v>18465.201985413951</v>
      </c>
      <c r="Z28" s="76">
        <f t="shared" si="1"/>
        <v>8904.5901130439634</v>
      </c>
      <c r="AA28" s="76">
        <f t="shared" si="1"/>
        <v>15982.853708243432</v>
      </c>
      <c r="AB28" s="76">
        <f t="shared" si="1"/>
        <v>17131.897649122067</v>
      </c>
      <c r="AC28" s="76">
        <f t="shared" si="1"/>
        <v>18465.201985413951</v>
      </c>
      <c r="AD28" s="76">
        <f t="shared" si="1"/>
        <v>8904.5901130439634</v>
      </c>
      <c r="AE28" s="77">
        <f t="shared" si="1"/>
        <v>15982.853708243432</v>
      </c>
    </row>
    <row r="29" spans="2:31" ht="15.75" thickBot="1" x14ac:dyDescent="0.3"/>
    <row r="30" spans="2:31" ht="15.75" thickBot="1" x14ac:dyDescent="0.3">
      <c r="I30" s="110" t="s">
        <v>82</v>
      </c>
      <c r="J30" s="111"/>
      <c r="K30" s="43">
        <f>MAX(H6:O15)</f>
        <v>21240.211090080971</v>
      </c>
      <c r="L30" s="44" t="s">
        <v>47</v>
      </c>
      <c r="P30" s="113" t="s">
        <v>134</v>
      </c>
      <c r="Q30" s="114"/>
      <c r="R30" s="36">
        <f>MAX(P19:W28)</f>
        <v>36930.403970827902</v>
      </c>
      <c r="S30" s="37" t="s">
        <v>47</v>
      </c>
      <c r="X30" s="113" t="s">
        <v>132</v>
      </c>
      <c r="Y30" s="114"/>
      <c r="Z30" s="36">
        <f>MAX(X19:AE28)</f>
        <v>18465.201985413951</v>
      </c>
      <c r="AA30" s="37" t="s">
        <v>47</v>
      </c>
    </row>
    <row r="31" spans="2:31" ht="15.75" thickBot="1" x14ac:dyDescent="0.3">
      <c r="C31" s="110" t="s">
        <v>30</v>
      </c>
      <c r="D31" s="111"/>
      <c r="E31" s="112"/>
      <c r="I31" s="118" t="s">
        <v>83</v>
      </c>
      <c r="J31" s="119"/>
      <c r="K31" s="45">
        <f>MIN(H6:O15)</f>
        <v>-23718.436309947458</v>
      </c>
      <c r="L31" s="46" t="s">
        <v>47</v>
      </c>
    </row>
    <row r="32" spans="2:31" x14ac:dyDescent="0.25">
      <c r="C32" s="25" t="s">
        <v>34</v>
      </c>
      <c r="D32" s="1"/>
      <c r="E32" s="26"/>
    </row>
    <row r="33" spans="3:5" x14ac:dyDescent="0.25">
      <c r="C33" s="27" t="s">
        <v>31</v>
      </c>
      <c r="D33" s="3">
        <v>0.39</v>
      </c>
      <c r="E33" s="39" t="s">
        <v>44</v>
      </c>
    </row>
    <row r="34" spans="3:5" x14ac:dyDescent="0.25">
      <c r="C34" s="27" t="s">
        <v>32</v>
      </c>
      <c r="D34" s="3">
        <v>2</v>
      </c>
      <c r="E34" s="39" t="s">
        <v>44</v>
      </c>
    </row>
    <row r="35" spans="3:5" x14ac:dyDescent="0.25">
      <c r="C35" s="29" t="s">
        <v>46</v>
      </c>
      <c r="D35" s="10">
        <f>R30</f>
        <v>36930.403970827902</v>
      </c>
      <c r="E35" s="30" t="s">
        <v>47</v>
      </c>
    </row>
    <row r="36" spans="3:5" x14ac:dyDescent="0.25">
      <c r="C36" s="25"/>
      <c r="D36" s="1"/>
      <c r="E36" s="26"/>
    </row>
    <row r="37" spans="3:5" x14ac:dyDescent="0.25">
      <c r="C37" s="123" t="s">
        <v>35</v>
      </c>
      <c r="D37" s="124"/>
      <c r="E37" s="125"/>
    </row>
    <row r="38" spans="3:5" x14ac:dyDescent="0.25">
      <c r="C38" s="27" t="s">
        <v>136</v>
      </c>
      <c r="D38" s="3">
        <v>11.875</v>
      </c>
      <c r="E38" s="28" t="s">
        <v>39</v>
      </c>
    </row>
    <row r="39" spans="3:5" x14ac:dyDescent="0.25">
      <c r="C39" s="27" t="s">
        <v>57</v>
      </c>
      <c r="D39" s="3">
        <v>11.143000000000001</v>
      </c>
      <c r="E39" s="28" t="s">
        <v>39</v>
      </c>
    </row>
    <row r="40" spans="3:5" x14ac:dyDescent="0.25">
      <c r="C40" s="27" t="s">
        <v>54</v>
      </c>
      <c r="D40" s="3">
        <v>1.27</v>
      </c>
      <c r="E40" s="28" t="s">
        <v>39</v>
      </c>
    </row>
    <row r="41" spans="3:5" x14ac:dyDescent="0.25">
      <c r="C41" s="27" t="s">
        <v>41</v>
      </c>
      <c r="D41" s="3">
        <v>30</v>
      </c>
      <c r="E41" s="28" t="s">
        <v>42</v>
      </c>
    </row>
    <row r="42" spans="3:5" x14ac:dyDescent="0.25">
      <c r="C42" s="27" t="s">
        <v>50</v>
      </c>
      <c r="D42" s="13">
        <v>0.12</v>
      </c>
      <c r="E42" s="28"/>
    </row>
    <row r="43" spans="3:5" x14ac:dyDescent="0.25">
      <c r="C43" s="29"/>
      <c r="D43" s="6"/>
      <c r="E43" s="30"/>
    </row>
    <row r="44" spans="3:5" x14ac:dyDescent="0.25">
      <c r="C44" s="123" t="s">
        <v>36</v>
      </c>
      <c r="D44" s="124"/>
      <c r="E44" s="125"/>
    </row>
    <row r="45" spans="3:5" x14ac:dyDescent="0.25">
      <c r="C45" s="27" t="s">
        <v>37</v>
      </c>
      <c r="D45" s="3">
        <f>11.049*2</f>
        <v>22.097999999999999</v>
      </c>
      <c r="E45" s="28" t="s">
        <v>39</v>
      </c>
    </row>
    <row r="46" spans="3:5" x14ac:dyDescent="0.25">
      <c r="C46" s="27" t="s">
        <v>38</v>
      </c>
      <c r="D46" s="3">
        <f>6.85*2</f>
        <v>13.7</v>
      </c>
      <c r="E46" s="28" t="s">
        <v>39</v>
      </c>
    </row>
    <row r="47" spans="3:5" x14ac:dyDescent="0.25">
      <c r="C47" s="27" t="s">
        <v>43</v>
      </c>
      <c r="D47" s="3">
        <v>0.12</v>
      </c>
      <c r="E47" s="39" t="s">
        <v>44</v>
      </c>
    </row>
    <row r="48" spans="3:5" x14ac:dyDescent="0.25">
      <c r="C48" s="29" t="s">
        <v>40</v>
      </c>
      <c r="D48" s="6">
        <f>(D45+D46)/2</f>
        <v>17.899000000000001</v>
      </c>
      <c r="E48" s="30" t="s">
        <v>39</v>
      </c>
    </row>
    <row r="49" spans="3:6" x14ac:dyDescent="0.25">
      <c r="C49" s="27"/>
      <c r="D49" s="3"/>
      <c r="E49" s="28"/>
    </row>
    <row r="50" spans="3:6" x14ac:dyDescent="0.25">
      <c r="C50" s="27" t="s">
        <v>45</v>
      </c>
      <c r="D50" s="40">
        <f>D35/2*(1.27/PI()+D38*D42/COS(D41*PI()/180)+D48*D47)</f>
        <v>77509.196205420682</v>
      </c>
      <c r="E50" s="28" t="s">
        <v>48</v>
      </c>
      <c r="F50" t="s">
        <v>90</v>
      </c>
    </row>
    <row r="51" spans="3:6" ht="15.75" thickBot="1" x14ac:dyDescent="0.3">
      <c r="C51" s="41" t="s">
        <v>45</v>
      </c>
      <c r="D51" s="42">
        <f>D50*10^-3</f>
        <v>77.509196205420679</v>
      </c>
      <c r="E51" s="38" t="s">
        <v>49</v>
      </c>
      <c r="F51" t="s">
        <v>90</v>
      </c>
    </row>
    <row r="53" spans="3:6" ht="15.75" thickBot="1" x14ac:dyDescent="0.3"/>
    <row r="54" spans="3:6" x14ac:dyDescent="0.25">
      <c r="C54" s="19" t="s">
        <v>69</v>
      </c>
      <c r="D54" s="20"/>
      <c r="E54" s="21"/>
    </row>
    <row r="55" spans="3:6" x14ac:dyDescent="0.25">
      <c r="C55" s="22"/>
      <c r="D55" s="23"/>
      <c r="E55" s="24"/>
    </row>
    <row r="56" spans="3:6" x14ac:dyDescent="0.25">
      <c r="C56" s="25" t="s">
        <v>65</v>
      </c>
      <c r="D56" s="1">
        <f>11.112*2</f>
        <v>22.224</v>
      </c>
      <c r="E56" s="26" t="s">
        <v>39</v>
      </c>
    </row>
    <row r="57" spans="3:6" x14ac:dyDescent="0.25">
      <c r="C57" s="27" t="s">
        <v>111</v>
      </c>
      <c r="D57" s="3">
        <v>0</v>
      </c>
      <c r="E57" s="28" t="s">
        <v>39</v>
      </c>
    </row>
    <row r="58" spans="3:6" x14ac:dyDescent="0.25">
      <c r="C58" s="27" t="s">
        <v>112</v>
      </c>
      <c r="D58" s="3">
        <f>11.25*2</f>
        <v>22.5</v>
      </c>
      <c r="E58" s="28" t="s">
        <v>39</v>
      </c>
    </row>
    <row r="59" spans="3:6" x14ac:dyDescent="0.25">
      <c r="C59" s="27" t="s">
        <v>113</v>
      </c>
      <c r="D59" s="3">
        <v>2</v>
      </c>
      <c r="E59" s="28" t="s">
        <v>39</v>
      </c>
    </row>
    <row r="60" spans="3:6" x14ac:dyDescent="0.25">
      <c r="C60" s="27" t="s">
        <v>116</v>
      </c>
      <c r="D60" s="13">
        <v>210000</v>
      </c>
      <c r="E60" s="28" t="s">
        <v>55</v>
      </c>
    </row>
    <row r="61" spans="3:6" x14ac:dyDescent="0.25">
      <c r="C61" s="27" t="s">
        <v>66</v>
      </c>
      <c r="D61" s="3">
        <v>13</v>
      </c>
      <c r="E61" s="28" t="s">
        <v>39</v>
      </c>
    </row>
    <row r="62" spans="3:6" x14ac:dyDescent="0.25">
      <c r="C62" s="27" t="s">
        <v>117</v>
      </c>
      <c r="D62" s="3">
        <v>70000</v>
      </c>
      <c r="E62" s="28" t="s">
        <v>55</v>
      </c>
    </row>
    <row r="63" spans="3:6" x14ac:dyDescent="0.25">
      <c r="C63" s="27" t="s">
        <v>114</v>
      </c>
      <c r="D63" s="3">
        <v>27</v>
      </c>
      <c r="E63" s="28" t="s">
        <v>39</v>
      </c>
    </row>
    <row r="64" spans="3:6" x14ac:dyDescent="0.25">
      <c r="C64" s="98" t="s">
        <v>115</v>
      </c>
      <c r="D64" s="3">
        <f>D63+D57+D59</f>
        <v>29</v>
      </c>
      <c r="E64" s="28" t="s">
        <v>39</v>
      </c>
    </row>
    <row r="65" spans="3:5" x14ac:dyDescent="0.25">
      <c r="C65" s="27" t="s">
        <v>62</v>
      </c>
      <c r="D65" s="3">
        <f>PI()/4*((D56+0.5*D64*TAN(30*PI()/180))^2-D61^2)</f>
        <v>602.47064395453344</v>
      </c>
      <c r="E65" s="28" t="s">
        <v>59</v>
      </c>
    </row>
    <row r="66" spans="3:5" x14ac:dyDescent="0.25">
      <c r="C66" s="29" t="s">
        <v>61</v>
      </c>
      <c r="D66" s="6">
        <f>(1/D65)*(D63/D62+D59/D60)</f>
        <v>6.5602880273768589E-7</v>
      </c>
      <c r="E66" s="30" t="s">
        <v>133</v>
      </c>
    </row>
    <row r="67" spans="3:5" x14ac:dyDescent="0.25">
      <c r="C67" s="27"/>
      <c r="D67" s="3"/>
      <c r="E67" s="28"/>
    </row>
    <row r="68" spans="3:5" x14ac:dyDescent="0.25">
      <c r="C68" s="27" t="s">
        <v>88</v>
      </c>
      <c r="D68" s="13">
        <v>210000</v>
      </c>
      <c r="E68" s="28" t="s">
        <v>55</v>
      </c>
    </row>
    <row r="69" spans="3:5" x14ac:dyDescent="0.25">
      <c r="C69" s="27" t="s">
        <v>121</v>
      </c>
      <c r="D69" s="3">
        <v>30.5</v>
      </c>
      <c r="E69" s="28" t="s">
        <v>39</v>
      </c>
    </row>
    <row r="70" spans="3:5" x14ac:dyDescent="0.25">
      <c r="C70" s="27" t="s">
        <v>125</v>
      </c>
      <c r="D70" s="13">
        <f>D104</f>
        <v>95.033177771091246</v>
      </c>
      <c r="E70" s="28" t="s">
        <v>59</v>
      </c>
    </row>
    <row r="71" spans="3:5" x14ac:dyDescent="0.25">
      <c r="C71" s="27" t="s">
        <v>123</v>
      </c>
      <c r="D71" s="13">
        <f>D38^2/4*PI()</f>
        <v>110.75341288534329</v>
      </c>
      <c r="E71" s="28" t="s">
        <v>59</v>
      </c>
    </row>
    <row r="72" spans="3:5" x14ac:dyDescent="0.25">
      <c r="C72" s="27" t="s">
        <v>124</v>
      </c>
      <c r="D72" s="13">
        <v>2</v>
      </c>
      <c r="E72" s="28" t="s">
        <v>39</v>
      </c>
    </row>
    <row r="73" spans="3:5" x14ac:dyDescent="0.25">
      <c r="C73" s="98" t="s">
        <v>126</v>
      </c>
      <c r="D73" s="3">
        <v>12.8</v>
      </c>
      <c r="E73" s="99" t="s">
        <v>39</v>
      </c>
    </row>
    <row r="74" spans="3:5" x14ac:dyDescent="0.25">
      <c r="C74" s="98" t="s">
        <v>127</v>
      </c>
      <c r="D74" s="13">
        <f>D73^2/4*PI()</f>
        <v>128.67963509103794</v>
      </c>
      <c r="E74" s="99" t="s">
        <v>39</v>
      </c>
    </row>
    <row r="75" spans="3:5" x14ac:dyDescent="0.25">
      <c r="C75" s="98" t="s">
        <v>128</v>
      </c>
      <c r="D75" s="3">
        <v>0</v>
      </c>
      <c r="E75" s="99" t="s">
        <v>39</v>
      </c>
    </row>
    <row r="76" spans="3:5" x14ac:dyDescent="0.25">
      <c r="C76" s="27" t="s">
        <v>122</v>
      </c>
      <c r="D76" s="13">
        <v>0</v>
      </c>
      <c r="E76" s="28" t="s">
        <v>39</v>
      </c>
    </row>
    <row r="77" spans="3:5" x14ac:dyDescent="0.25">
      <c r="C77" s="27" t="s">
        <v>119</v>
      </c>
      <c r="D77" s="13">
        <v>13</v>
      </c>
      <c r="E77" s="28" t="s">
        <v>39</v>
      </c>
    </row>
    <row r="78" spans="3:5" x14ac:dyDescent="0.25">
      <c r="C78" s="27" t="s">
        <v>120</v>
      </c>
      <c r="D78" s="13">
        <f>D77^2/4*PI()</f>
        <v>132.73228961416876</v>
      </c>
      <c r="E78" s="28" t="s">
        <v>59</v>
      </c>
    </row>
    <row r="79" spans="3:5" ht="15.75" thickBot="1" x14ac:dyDescent="0.3">
      <c r="C79" s="41" t="s">
        <v>118</v>
      </c>
      <c r="D79" s="100">
        <f>(1/D68)*((D72+0.4*12.7)/D71+D69/D70+D75/D74+D76/D78)</f>
        <v>1.8326968652009351E-6</v>
      </c>
      <c r="E79" s="38" t="s">
        <v>133</v>
      </c>
    </row>
    <row r="81" spans="2:5" ht="15.75" thickBot="1" x14ac:dyDescent="0.3"/>
    <row r="82" spans="2:5" x14ac:dyDescent="0.25">
      <c r="C82" s="120" t="s">
        <v>75</v>
      </c>
      <c r="D82" s="121"/>
      <c r="E82" s="122"/>
    </row>
    <row r="83" spans="2:5" x14ac:dyDescent="0.25">
      <c r="B83" s="97"/>
      <c r="C83" s="56"/>
      <c r="D83" s="57"/>
      <c r="E83" s="58"/>
    </row>
    <row r="84" spans="2:5" x14ac:dyDescent="0.25">
      <c r="B84" s="97"/>
      <c r="C84" s="123" t="s">
        <v>72</v>
      </c>
      <c r="D84" s="124"/>
      <c r="E84" s="125"/>
    </row>
    <row r="85" spans="2:5" x14ac:dyDescent="0.25">
      <c r="B85" s="97"/>
      <c r="C85" s="25" t="s">
        <v>51</v>
      </c>
      <c r="D85" s="1">
        <v>4</v>
      </c>
      <c r="E85" s="34" t="s">
        <v>52</v>
      </c>
    </row>
    <row r="86" spans="2:5" x14ac:dyDescent="0.25">
      <c r="B86" s="97"/>
      <c r="C86" s="29" t="s">
        <v>53</v>
      </c>
      <c r="D86" s="6">
        <f>(1-D85/1000)*D35</f>
        <v>36782.682354944591</v>
      </c>
      <c r="E86" s="30" t="s">
        <v>47</v>
      </c>
    </row>
    <row r="87" spans="2:5" x14ac:dyDescent="0.25">
      <c r="B87" s="97"/>
      <c r="C87" s="27"/>
      <c r="D87" s="3"/>
      <c r="E87" s="28"/>
    </row>
    <row r="88" spans="2:5" x14ac:dyDescent="0.25">
      <c r="B88" s="97"/>
      <c r="C88" s="123" t="s">
        <v>73</v>
      </c>
      <c r="D88" s="124"/>
      <c r="E88" s="125"/>
    </row>
    <row r="89" spans="2:5" x14ac:dyDescent="0.25">
      <c r="B89" s="97"/>
      <c r="C89" s="27" t="s">
        <v>70</v>
      </c>
      <c r="D89" s="3">
        <f>35*10^-6</f>
        <v>3.4999999999999997E-5</v>
      </c>
      <c r="E89" s="28" t="s">
        <v>39</v>
      </c>
    </row>
    <row r="90" spans="2:5" x14ac:dyDescent="0.25">
      <c r="B90" s="97"/>
      <c r="C90" s="29" t="s">
        <v>71</v>
      </c>
      <c r="D90" s="6">
        <f>D89/(D66+D79)</f>
        <v>14.063422277068424</v>
      </c>
      <c r="E90" s="30" t="s">
        <v>47</v>
      </c>
    </row>
    <row r="91" spans="2:5" x14ac:dyDescent="0.25">
      <c r="B91" s="97"/>
      <c r="C91" s="56"/>
      <c r="D91" s="57"/>
      <c r="E91" s="58"/>
    </row>
    <row r="92" spans="2:5" x14ac:dyDescent="0.25">
      <c r="B92" s="97"/>
      <c r="C92" s="123" t="s">
        <v>74</v>
      </c>
      <c r="D92" s="124"/>
      <c r="E92" s="125"/>
    </row>
    <row r="93" spans="2:5" x14ac:dyDescent="0.25">
      <c r="B93" s="97"/>
      <c r="C93" s="27" t="s">
        <v>67</v>
      </c>
      <c r="D93" s="9">
        <f>$K$30*D66/($D$79+$D$66)</f>
        <v>5598.9257598098575</v>
      </c>
      <c r="E93" s="28" t="s">
        <v>47</v>
      </c>
    </row>
    <row r="94" spans="2:5" x14ac:dyDescent="0.25">
      <c r="B94" s="97"/>
      <c r="C94" s="29" t="s">
        <v>68</v>
      </c>
      <c r="D94" s="10">
        <f>$K$30*D79/($D$79+$D$66)</f>
        <v>15641.285330271116</v>
      </c>
      <c r="E94" s="30" t="s">
        <v>47</v>
      </c>
    </row>
    <row r="95" spans="2:5" x14ac:dyDescent="0.25">
      <c r="B95" s="97"/>
      <c r="C95" s="56"/>
      <c r="D95" s="57"/>
      <c r="E95" s="58"/>
    </row>
    <row r="96" spans="2:5" ht="15.75" thickBot="1" x14ac:dyDescent="0.3">
      <c r="B96" s="97"/>
      <c r="C96" s="31" t="s">
        <v>76</v>
      </c>
      <c r="D96" s="35">
        <f>D86-D90-D94</f>
        <v>21127.333602396408</v>
      </c>
      <c r="E96" s="33" t="s">
        <v>47</v>
      </c>
    </row>
    <row r="97" spans="2:5" x14ac:dyDescent="0.25">
      <c r="B97" s="97"/>
    </row>
    <row r="98" spans="2:5" ht="15.75" thickBot="1" x14ac:dyDescent="0.3">
      <c r="B98" s="97"/>
    </row>
    <row r="99" spans="2:5" x14ac:dyDescent="0.25">
      <c r="C99" s="120" t="s">
        <v>89</v>
      </c>
      <c r="D99" s="121"/>
      <c r="E99" s="122"/>
    </row>
    <row r="100" spans="2:5" x14ac:dyDescent="0.25">
      <c r="C100" s="86"/>
      <c r="D100" s="87"/>
      <c r="E100" s="88"/>
    </row>
    <row r="101" spans="2:5" x14ac:dyDescent="0.25">
      <c r="C101" s="95" t="s">
        <v>58</v>
      </c>
      <c r="D101" s="91"/>
      <c r="E101" s="96"/>
    </row>
    <row r="102" spans="2:5" x14ac:dyDescent="0.25">
      <c r="C102" s="27" t="s">
        <v>85</v>
      </c>
      <c r="D102" s="3">
        <v>11</v>
      </c>
      <c r="E102" s="28" t="s">
        <v>39</v>
      </c>
    </row>
    <row r="103" spans="2:5" x14ac:dyDescent="0.25">
      <c r="C103" s="27" t="s">
        <v>58</v>
      </c>
      <c r="D103" s="3">
        <f>D39^2/4*PI()</f>
        <v>97.520101000182933</v>
      </c>
      <c r="E103" s="28" t="s">
        <v>59</v>
      </c>
    </row>
    <row r="104" spans="2:5" x14ac:dyDescent="0.25">
      <c r="C104" s="27" t="s">
        <v>84</v>
      </c>
      <c r="D104" s="3">
        <f>D102^2/4*PI()</f>
        <v>95.033177771091246</v>
      </c>
      <c r="E104" s="28" t="s">
        <v>59</v>
      </c>
    </row>
    <row r="105" spans="2:5" x14ac:dyDescent="0.25">
      <c r="C105" s="27" t="s">
        <v>56</v>
      </c>
      <c r="D105" s="3">
        <v>1172</v>
      </c>
      <c r="E105" s="28" t="s">
        <v>55</v>
      </c>
    </row>
    <row r="106" spans="2:5" x14ac:dyDescent="0.25">
      <c r="C106" s="29" t="s">
        <v>88</v>
      </c>
      <c r="D106" s="6">
        <v>210000</v>
      </c>
      <c r="E106" s="30" t="s">
        <v>55</v>
      </c>
    </row>
    <row r="107" spans="2:5" x14ac:dyDescent="0.25">
      <c r="C107" s="53"/>
      <c r="D107" s="89"/>
      <c r="E107" s="55"/>
    </row>
    <row r="108" spans="2:5" x14ac:dyDescent="0.25">
      <c r="C108" s="123" t="s">
        <v>92</v>
      </c>
      <c r="D108" s="124"/>
      <c r="E108" s="125"/>
    </row>
    <row r="109" spans="2:5" x14ac:dyDescent="0.25">
      <c r="C109" s="27" t="s">
        <v>91</v>
      </c>
      <c r="D109" s="40">
        <f>D50</f>
        <v>77509.196205420682</v>
      </c>
      <c r="E109" s="28" t="s">
        <v>48</v>
      </c>
    </row>
    <row r="110" spans="2:5" x14ac:dyDescent="0.25">
      <c r="C110" s="27" t="s">
        <v>129</v>
      </c>
      <c r="D110" s="40">
        <f>D35/2*(1.27/PI()+D38*D42/COS(D41*PI()/180))</f>
        <v>37848.158164989763</v>
      </c>
      <c r="E110" s="28" t="s">
        <v>48</v>
      </c>
    </row>
    <row r="111" spans="2:5" x14ac:dyDescent="0.25">
      <c r="C111" s="27" t="s">
        <v>108</v>
      </c>
      <c r="D111" s="9">
        <f>D35</f>
        <v>36930.403970827902</v>
      </c>
      <c r="E111" s="28" t="s">
        <v>47</v>
      </c>
    </row>
    <row r="112" spans="2:5" x14ac:dyDescent="0.25">
      <c r="C112" s="29" t="s">
        <v>107</v>
      </c>
      <c r="D112" s="10">
        <f>D35+D93</f>
        <v>42529.329730637757</v>
      </c>
      <c r="E112" s="30" t="s">
        <v>47</v>
      </c>
    </row>
    <row r="113" spans="3:5" x14ac:dyDescent="0.25">
      <c r="C113" s="53"/>
      <c r="D113" s="54"/>
      <c r="E113" s="55"/>
    </row>
    <row r="114" spans="3:5" x14ac:dyDescent="0.25">
      <c r="C114" s="131" t="s">
        <v>93</v>
      </c>
      <c r="D114" s="132"/>
      <c r="E114" s="133"/>
    </row>
    <row r="115" spans="3:5" x14ac:dyDescent="0.25">
      <c r="C115" s="25" t="s">
        <v>109</v>
      </c>
      <c r="D115" s="93">
        <f>D112/D104</f>
        <v>447.52086300932922</v>
      </c>
      <c r="E115" s="26" t="s">
        <v>55</v>
      </c>
    </row>
    <row r="116" spans="3:5" x14ac:dyDescent="0.25">
      <c r="C116" s="27"/>
      <c r="D116" s="90">
        <f>16*D110/(PI()*D39^3)</f>
        <v>139.31839684736113</v>
      </c>
      <c r="E116" s="28" t="s">
        <v>55</v>
      </c>
    </row>
    <row r="117" spans="3:5" x14ac:dyDescent="0.25">
      <c r="C117" s="27" t="s">
        <v>110</v>
      </c>
      <c r="D117" s="90">
        <f>SQRT(D115^2+3*D116^2)</f>
        <v>508.43266017140485</v>
      </c>
      <c r="E117" s="28" t="s">
        <v>55</v>
      </c>
    </row>
    <row r="118" spans="3:5" x14ac:dyDescent="0.25">
      <c r="C118" s="27" t="s">
        <v>87</v>
      </c>
      <c r="D118" s="90">
        <f>D111/D103</f>
        <v>378.69530068225242</v>
      </c>
      <c r="E118" s="28" t="s">
        <v>55</v>
      </c>
    </row>
    <row r="119" spans="3:5" x14ac:dyDescent="0.25">
      <c r="C119" s="27" t="s">
        <v>86</v>
      </c>
      <c r="D119" s="90">
        <f>16*D109/(PI()*D39^3)</f>
        <v>285.30997226320898</v>
      </c>
      <c r="E119" s="28" t="s">
        <v>55</v>
      </c>
    </row>
    <row r="120" spans="3:5" x14ac:dyDescent="0.25">
      <c r="C120" s="29" t="s">
        <v>94</v>
      </c>
      <c r="D120" s="94">
        <f>SQRT(D118^2+3*D119^2)</f>
        <v>622.58772199371299</v>
      </c>
      <c r="E120" s="30" t="s">
        <v>55</v>
      </c>
    </row>
    <row r="121" spans="3:5" x14ac:dyDescent="0.25">
      <c r="C121" s="53"/>
      <c r="D121" s="89"/>
      <c r="E121" s="55"/>
    </row>
    <row r="122" spans="3:5" x14ac:dyDescent="0.25">
      <c r="C122" s="115" t="s">
        <v>32</v>
      </c>
      <c r="D122" s="116"/>
      <c r="E122" s="117"/>
    </row>
    <row r="123" spans="3:5" x14ac:dyDescent="0.25">
      <c r="C123" s="25" t="s">
        <v>105</v>
      </c>
      <c r="D123" s="92">
        <f>D105/D117</f>
        <v>2.3051233561685254</v>
      </c>
      <c r="E123" s="26"/>
    </row>
    <row r="124" spans="3:5" ht="15.75" thickBot="1" x14ac:dyDescent="0.3">
      <c r="C124" s="41" t="s">
        <v>106</v>
      </c>
      <c r="D124" s="42">
        <f>D105/D120</f>
        <v>1.8824656487713953</v>
      </c>
      <c r="E124" s="38"/>
    </row>
    <row r="126" spans="3:5" ht="15.75" thickBot="1" x14ac:dyDescent="0.3"/>
    <row r="127" spans="3:5" x14ac:dyDescent="0.25">
      <c r="C127" s="120" t="s">
        <v>89</v>
      </c>
      <c r="D127" s="121"/>
      <c r="E127" s="122"/>
    </row>
    <row r="128" spans="3:5" x14ac:dyDescent="0.25">
      <c r="C128" s="47"/>
      <c r="D128" s="48"/>
      <c r="E128" s="49"/>
    </row>
    <row r="129" spans="3:5" x14ac:dyDescent="0.25">
      <c r="C129" s="25" t="s">
        <v>102</v>
      </c>
      <c r="D129" s="1">
        <v>13</v>
      </c>
      <c r="E129" s="26" t="s">
        <v>39</v>
      </c>
    </row>
    <row r="130" spans="3:5" x14ac:dyDescent="0.25">
      <c r="C130" s="27" t="s">
        <v>102</v>
      </c>
      <c r="D130" s="3">
        <f>D129^2/4*PI()</f>
        <v>132.73228961416876</v>
      </c>
      <c r="E130" s="28" t="s">
        <v>59</v>
      </c>
    </row>
    <row r="131" spans="3:5" x14ac:dyDescent="0.25">
      <c r="C131" s="27" t="s">
        <v>56</v>
      </c>
      <c r="D131" s="3">
        <v>1172</v>
      </c>
      <c r="E131" s="28" t="s">
        <v>55</v>
      </c>
    </row>
    <row r="132" spans="3:5" x14ac:dyDescent="0.25">
      <c r="C132" s="29" t="s">
        <v>88</v>
      </c>
      <c r="D132" s="6">
        <v>210000</v>
      </c>
      <c r="E132" s="30" t="s">
        <v>55</v>
      </c>
    </row>
    <row r="133" spans="3:5" x14ac:dyDescent="0.25">
      <c r="C133" s="50"/>
      <c r="D133" s="51"/>
      <c r="E133" s="52"/>
    </row>
    <row r="134" spans="3:5" x14ac:dyDescent="0.25">
      <c r="C134" s="123" t="s">
        <v>92</v>
      </c>
      <c r="D134" s="124"/>
      <c r="E134" s="125"/>
    </row>
    <row r="135" spans="3:5" x14ac:dyDescent="0.25">
      <c r="C135" s="29" t="s">
        <v>103</v>
      </c>
      <c r="D135" s="10">
        <f>R28</f>
        <v>17809.180226087927</v>
      </c>
      <c r="E135" s="30" t="s">
        <v>47</v>
      </c>
    </row>
    <row r="136" spans="3:5" x14ac:dyDescent="0.25">
      <c r="C136" s="53"/>
      <c r="D136" s="54"/>
      <c r="E136" s="55"/>
    </row>
    <row r="137" spans="3:5" x14ac:dyDescent="0.25">
      <c r="C137" s="115" t="s">
        <v>93</v>
      </c>
      <c r="D137" s="116"/>
      <c r="E137" s="117"/>
    </row>
    <row r="138" spans="3:5" x14ac:dyDescent="0.25">
      <c r="C138" s="27" t="s">
        <v>104</v>
      </c>
      <c r="D138" s="3">
        <f>4/3*D135/D130</f>
        <v>178.89824475874283</v>
      </c>
      <c r="E138" s="28" t="s">
        <v>55</v>
      </c>
    </row>
    <row r="139" spans="3:5" x14ac:dyDescent="0.25">
      <c r="C139" s="29" t="s">
        <v>94</v>
      </c>
      <c r="D139" s="6">
        <f>SQRT(3*D138^2)</f>
        <v>309.86084930703521</v>
      </c>
      <c r="E139" s="30" t="s">
        <v>55</v>
      </c>
    </row>
    <row r="140" spans="3:5" x14ac:dyDescent="0.25">
      <c r="C140" s="50"/>
      <c r="D140" s="51"/>
      <c r="E140" s="52"/>
    </row>
    <row r="141" spans="3:5" x14ac:dyDescent="0.25">
      <c r="C141" s="115" t="s">
        <v>32</v>
      </c>
      <c r="D141" s="116"/>
      <c r="E141" s="117"/>
    </row>
    <row r="142" spans="3:5" ht="15.75" thickBot="1" x14ac:dyDescent="0.3">
      <c r="C142" s="31" t="s">
        <v>60</v>
      </c>
      <c r="D142" s="32">
        <f>D131/D139</f>
        <v>3.7823429536872131</v>
      </c>
      <c r="E142" s="33"/>
    </row>
  </sheetData>
  <mergeCells count="29">
    <mergeCell ref="B2:C2"/>
    <mergeCell ref="C92:E92"/>
    <mergeCell ref="H2:K2"/>
    <mergeCell ref="L2:M2"/>
    <mergeCell ref="O2:P2"/>
    <mergeCell ref="H4:O4"/>
    <mergeCell ref="H17:O17"/>
    <mergeCell ref="P4:W4"/>
    <mergeCell ref="X4:AE4"/>
    <mergeCell ref="C31:E31"/>
    <mergeCell ref="C37:E37"/>
    <mergeCell ref="P30:Q30"/>
    <mergeCell ref="I30:J30"/>
    <mergeCell ref="I31:J31"/>
    <mergeCell ref="C141:E141"/>
    <mergeCell ref="X17:AE17"/>
    <mergeCell ref="X30:Y30"/>
    <mergeCell ref="P17:W17"/>
    <mergeCell ref="C114:E114"/>
    <mergeCell ref="C122:E122"/>
    <mergeCell ref="C127:E127"/>
    <mergeCell ref="C134:E134"/>
    <mergeCell ref="C137:E137"/>
    <mergeCell ref="C82:E82"/>
    <mergeCell ref="C84:E84"/>
    <mergeCell ref="C88:E88"/>
    <mergeCell ref="C99:E99"/>
    <mergeCell ref="C108:E108"/>
    <mergeCell ref="C44:E44"/>
  </mergeCells>
  <conditionalFormatting sqref="H6:O15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9:O28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6:W15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6:AE15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19:W28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19:AE28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19:AE28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96">
    <cfRule type="cellIs" dxfId="1" priority="1" operator="lessThan">
      <formula>$Z$30</formula>
    </cfRule>
    <cfRule type="cellIs" dxfId="0" priority="2" operator="greaterThan">
      <formula>$Z$30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C597A-8864-4522-9465-53DFAAE3D71F}">
  <dimension ref="B3:D47"/>
  <sheetViews>
    <sheetView topLeftCell="A3" workbookViewId="0">
      <selection activeCell="C19" sqref="C19"/>
    </sheetView>
  </sheetViews>
  <sheetFormatPr defaultRowHeight="15" x14ac:dyDescent="0.25"/>
  <cols>
    <col min="2" max="2" width="44.7109375" bestFit="1" customWidth="1"/>
  </cols>
  <sheetData>
    <row r="3" spans="2:4" x14ac:dyDescent="0.25">
      <c r="B3" s="123" t="s">
        <v>35</v>
      </c>
      <c r="C3" s="124"/>
      <c r="D3" s="125"/>
    </row>
    <row r="4" spans="2:4" x14ac:dyDescent="0.25">
      <c r="B4" s="27" t="s">
        <v>136</v>
      </c>
      <c r="C4" s="3">
        <v>11.875</v>
      </c>
      <c r="D4" s="28" t="s">
        <v>39</v>
      </c>
    </row>
    <row r="5" spans="2:4" x14ac:dyDescent="0.25">
      <c r="B5" s="27" t="s">
        <v>57</v>
      </c>
      <c r="C5" s="3">
        <v>11.143000000000001</v>
      </c>
      <c r="D5" s="28" t="s">
        <v>39</v>
      </c>
    </row>
    <row r="6" spans="2:4" x14ac:dyDescent="0.25">
      <c r="B6" s="27" t="s">
        <v>54</v>
      </c>
      <c r="C6" s="3">
        <v>1.27</v>
      </c>
      <c r="D6" s="28" t="s">
        <v>39</v>
      </c>
    </row>
    <row r="7" spans="2:4" x14ac:dyDescent="0.25">
      <c r="B7" s="27" t="s">
        <v>41</v>
      </c>
      <c r="C7" s="3">
        <v>30</v>
      </c>
      <c r="D7" s="28" t="s">
        <v>42</v>
      </c>
    </row>
    <row r="8" spans="2:4" x14ac:dyDescent="0.25">
      <c r="B8" s="27" t="s">
        <v>50</v>
      </c>
      <c r="C8" s="13">
        <v>0.12</v>
      </c>
      <c r="D8" s="28"/>
    </row>
    <row r="9" spans="2:4" x14ac:dyDescent="0.25">
      <c r="B9" s="29"/>
      <c r="C9" s="6"/>
      <c r="D9" s="30"/>
    </row>
    <row r="10" spans="2:4" x14ac:dyDescent="0.25">
      <c r="B10" s="123" t="s">
        <v>36</v>
      </c>
      <c r="C10" s="124"/>
      <c r="D10" s="125"/>
    </row>
    <row r="11" spans="2:4" x14ac:dyDescent="0.25">
      <c r="B11" s="27" t="s">
        <v>37</v>
      </c>
      <c r="C11" s="3">
        <f>11.049*2</f>
        <v>22.097999999999999</v>
      </c>
      <c r="D11" s="28" t="s">
        <v>39</v>
      </c>
    </row>
    <row r="12" spans="2:4" x14ac:dyDescent="0.25">
      <c r="B12" s="27" t="s">
        <v>38</v>
      </c>
      <c r="C12" s="3">
        <f>6.85*2</f>
        <v>13.7</v>
      </c>
      <c r="D12" s="28" t="s">
        <v>39</v>
      </c>
    </row>
    <row r="13" spans="2:4" x14ac:dyDescent="0.25">
      <c r="B13" s="27" t="s">
        <v>43</v>
      </c>
      <c r="C13" s="3">
        <v>0.12</v>
      </c>
      <c r="D13" s="39" t="s">
        <v>44</v>
      </c>
    </row>
    <row r="14" spans="2:4" x14ac:dyDescent="0.25">
      <c r="B14" s="29" t="s">
        <v>40</v>
      </c>
      <c r="C14" s="6">
        <f>(C11+C12)/2</f>
        <v>17.899000000000001</v>
      </c>
      <c r="D14" s="30" t="s">
        <v>39</v>
      </c>
    </row>
    <row r="16" spans="2:4" x14ac:dyDescent="0.25">
      <c r="B16" t="s">
        <v>135</v>
      </c>
      <c r="C16">
        <v>90</v>
      </c>
      <c r="D16" t="s">
        <v>49</v>
      </c>
    </row>
    <row r="17" spans="2:4" x14ac:dyDescent="0.25">
      <c r="C17">
        <f>C16*10^3</f>
        <v>90000</v>
      </c>
      <c r="D17" t="s">
        <v>48</v>
      </c>
    </row>
    <row r="18" spans="2:4" x14ac:dyDescent="0.25">
      <c r="B18" t="s">
        <v>137</v>
      </c>
      <c r="C18">
        <f>2*C17/(C6/PI()+C4*C8/COS(C7*PI()/180)+C14*C13)</f>
        <v>42881.832351424411</v>
      </c>
    </row>
    <row r="19" spans="2:4" x14ac:dyDescent="0.25">
      <c r="B19" t="s">
        <v>138</v>
      </c>
      <c r="C19">
        <v>6000</v>
      </c>
      <c r="D19" t="s">
        <v>47</v>
      </c>
    </row>
    <row r="20" spans="2:4" x14ac:dyDescent="0.25">
      <c r="B20" t="s">
        <v>129</v>
      </c>
      <c r="C20">
        <f>C18/2*(C6/PI()+C4*C8/COS(C7*PI()/180))</f>
        <v>43947.484964511263</v>
      </c>
      <c r="D20" t="s">
        <v>48</v>
      </c>
    </row>
    <row r="21" spans="2:4" x14ac:dyDescent="0.25">
      <c r="C21">
        <f>C20*10^-3</f>
        <v>43.947484964511261</v>
      </c>
      <c r="D21" t="s">
        <v>49</v>
      </c>
    </row>
    <row r="22" spans="2:4" ht="15.75" thickBot="1" x14ac:dyDescent="0.3"/>
    <row r="23" spans="2:4" x14ac:dyDescent="0.25">
      <c r="B23" s="120" t="s">
        <v>89</v>
      </c>
      <c r="C23" s="121"/>
      <c r="D23" s="122"/>
    </row>
    <row r="24" spans="2:4" x14ac:dyDescent="0.25">
      <c r="B24" s="86"/>
      <c r="C24" s="87"/>
      <c r="D24" s="88"/>
    </row>
    <row r="25" spans="2:4" x14ac:dyDescent="0.25">
      <c r="B25" s="27" t="s">
        <v>85</v>
      </c>
      <c r="C25" s="3">
        <v>11</v>
      </c>
      <c r="D25" s="28" t="s">
        <v>39</v>
      </c>
    </row>
    <row r="26" spans="2:4" x14ac:dyDescent="0.25">
      <c r="B26" s="27" t="s">
        <v>58</v>
      </c>
      <c r="C26" s="3">
        <f>C5^2/4*PI()</f>
        <v>97.520101000182933</v>
      </c>
      <c r="D26" s="28" t="s">
        <v>59</v>
      </c>
    </row>
    <row r="27" spans="2:4" x14ac:dyDescent="0.25">
      <c r="B27" s="27" t="s">
        <v>84</v>
      </c>
      <c r="C27" s="3">
        <f>C25^2/4*PI()</f>
        <v>95.033177771091246</v>
      </c>
      <c r="D27" s="28" t="s">
        <v>59</v>
      </c>
    </row>
    <row r="28" spans="2:4" x14ac:dyDescent="0.25">
      <c r="B28" s="27" t="s">
        <v>56</v>
      </c>
      <c r="C28" s="3">
        <v>1172</v>
      </c>
      <c r="D28" s="28" t="s">
        <v>55</v>
      </c>
    </row>
    <row r="29" spans="2:4" x14ac:dyDescent="0.25">
      <c r="B29" s="29" t="s">
        <v>88</v>
      </c>
      <c r="C29" s="6">
        <v>210000</v>
      </c>
      <c r="D29" s="30" t="s">
        <v>55</v>
      </c>
    </row>
    <row r="30" spans="2:4" x14ac:dyDescent="0.25">
      <c r="B30" s="53"/>
      <c r="C30" s="89"/>
      <c r="D30" s="55"/>
    </row>
    <row r="31" spans="2:4" x14ac:dyDescent="0.25">
      <c r="B31" s="123" t="s">
        <v>92</v>
      </c>
      <c r="C31" s="124"/>
      <c r="D31" s="125"/>
    </row>
    <row r="32" spans="2:4" x14ac:dyDescent="0.25">
      <c r="B32" s="27" t="s">
        <v>91</v>
      </c>
      <c r="C32" s="40">
        <f>C17</f>
        <v>90000</v>
      </c>
      <c r="D32" s="28" t="s">
        <v>48</v>
      </c>
    </row>
    <row r="33" spans="2:4" x14ac:dyDescent="0.25">
      <c r="B33" s="27" t="s">
        <v>129</v>
      </c>
      <c r="C33" s="40">
        <f>C20</f>
        <v>43947.484964511263</v>
      </c>
      <c r="D33" s="28" t="s">
        <v>48</v>
      </c>
    </row>
    <row r="34" spans="2:4" x14ac:dyDescent="0.25">
      <c r="B34" s="27" t="s">
        <v>108</v>
      </c>
      <c r="C34" s="9">
        <f>C18</f>
        <v>42881.832351424411</v>
      </c>
      <c r="D34" s="28" t="s">
        <v>47</v>
      </c>
    </row>
    <row r="35" spans="2:4" x14ac:dyDescent="0.25">
      <c r="B35" s="29" t="s">
        <v>107</v>
      </c>
      <c r="C35" s="10">
        <f>C18+C19</f>
        <v>48881.832351424411</v>
      </c>
      <c r="D35" s="30" t="s">
        <v>47</v>
      </c>
    </row>
    <row r="36" spans="2:4" x14ac:dyDescent="0.25">
      <c r="B36" s="53"/>
      <c r="C36" s="54"/>
      <c r="D36" s="55"/>
    </row>
    <row r="37" spans="2:4" x14ac:dyDescent="0.25">
      <c r="B37" s="131" t="s">
        <v>93</v>
      </c>
      <c r="C37" s="132"/>
      <c r="D37" s="133"/>
    </row>
    <row r="38" spans="2:4" x14ac:dyDescent="0.25">
      <c r="B38" s="25" t="s">
        <v>109</v>
      </c>
      <c r="C38" s="93">
        <f>C35/C27</f>
        <v>514.36596668552204</v>
      </c>
      <c r="D38" s="26" t="s">
        <v>55</v>
      </c>
    </row>
    <row r="39" spans="2:4" x14ac:dyDescent="0.25">
      <c r="B39" s="27" t="s">
        <v>130</v>
      </c>
      <c r="C39" s="90">
        <f>16*C33/(PI()*C25^3)</f>
        <v>168.16130953709913</v>
      </c>
      <c r="D39" s="28" t="s">
        <v>55</v>
      </c>
    </row>
    <row r="40" spans="2:4" x14ac:dyDescent="0.25">
      <c r="B40" s="27" t="s">
        <v>110</v>
      </c>
      <c r="C40" s="90">
        <f>SQRT(C38^2+3*C39^2)</f>
        <v>591.10661116251083</v>
      </c>
      <c r="D40" s="28" t="s">
        <v>55</v>
      </c>
    </row>
    <row r="41" spans="2:4" x14ac:dyDescent="0.25">
      <c r="B41" s="27" t="s">
        <v>87</v>
      </c>
      <c r="C41" s="90">
        <f>C34/C26</f>
        <v>439.72301004224732</v>
      </c>
      <c r="D41" s="28" t="s">
        <v>55</v>
      </c>
    </row>
    <row r="42" spans="2:4" x14ac:dyDescent="0.25">
      <c r="B42" s="27" t="s">
        <v>86</v>
      </c>
      <c r="C42" s="90">
        <f>16*C32/(PI()*C5^3)</f>
        <v>331.2883988067083</v>
      </c>
      <c r="D42" s="28" t="s">
        <v>55</v>
      </c>
    </row>
    <row r="43" spans="2:4" x14ac:dyDescent="0.25">
      <c r="B43" s="29" t="s">
        <v>94</v>
      </c>
      <c r="C43" s="94">
        <f>SQRT(C41^2+3*C42^2)</f>
        <v>722.91931438601921</v>
      </c>
      <c r="D43" s="30" t="s">
        <v>55</v>
      </c>
    </row>
    <row r="44" spans="2:4" x14ac:dyDescent="0.25">
      <c r="B44" s="53"/>
      <c r="C44" s="89"/>
      <c r="D44" s="55"/>
    </row>
    <row r="45" spans="2:4" x14ac:dyDescent="0.25">
      <c r="B45" s="115" t="s">
        <v>32</v>
      </c>
      <c r="C45" s="116"/>
      <c r="D45" s="117"/>
    </row>
    <row r="46" spans="2:4" x14ac:dyDescent="0.25">
      <c r="B46" s="25" t="s">
        <v>105</v>
      </c>
      <c r="C46" s="92">
        <f>C28/C40</f>
        <v>1.9827218607740902</v>
      </c>
      <c r="D46" s="26"/>
    </row>
    <row r="47" spans="2:4" ht="15.75" thickBot="1" x14ac:dyDescent="0.3">
      <c r="B47" s="41" t="s">
        <v>106</v>
      </c>
      <c r="C47" s="42">
        <f>C28/C43</f>
        <v>1.6212044368954071</v>
      </c>
      <c r="D47" s="38"/>
    </row>
  </sheetData>
  <mergeCells count="6">
    <mergeCell ref="B45:D45"/>
    <mergeCell ref="B23:D23"/>
    <mergeCell ref="B31:D31"/>
    <mergeCell ref="B37:D37"/>
    <mergeCell ref="B3:D3"/>
    <mergeCell ref="B10:D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MonocoqueToEngine</vt:lpstr>
      <vt:lpstr>EngineToBellhousing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Marco.Cova</dc:creator>
  <cp:lastModifiedBy>Marco.Cova</cp:lastModifiedBy>
  <dcterms:created xsi:type="dcterms:W3CDTF">2020-07-16T12:47:26Z</dcterms:created>
  <dcterms:modified xsi:type="dcterms:W3CDTF">2020-07-22T15:23:44Z</dcterms:modified>
</cp:coreProperties>
</file>