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pe.local\shares\P074\Documents\Design\12 Engine Installation\05 Studs\TighteningTorque\"/>
    </mc:Choice>
  </mc:AlternateContent>
  <xr:revisionPtr revIDLastSave="0" documentId="13_ncr:1_{1C811054-18E5-42E9-8661-7102036D3E4A}" xr6:coauthVersionLast="45" xr6:coauthVersionMax="45" xr10:uidLastSave="{00000000-0000-0000-0000-000000000000}"/>
  <bookViews>
    <workbookView xWindow="-120" yWindow="-120" windowWidth="29040" windowHeight="15840" xr2:uid="{95BC0863-25A8-4654-98F4-5DDFADCC2FBF}"/>
  </bookViews>
  <sheets>
    <sheet name="Monocoq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2" i="1" l="1"/>
  <c r="J11" i="1" l="1"/>
  <c r="J15" i="1"/>
  <c r="J30" i="1" s="1"/>
  <c r="J33" i="1" s="1"/>
  <c r="J14" i="1"/>
  <c r="C23" i="1"/>
  <c r="C22" i="1"/>
  <c r="C21" i="1"/>
  <c r="J16" i="1" l="1"/>
  <c r="J24" i="1" s="1"/>
  <c r="C17" i="1"/>
  <c r="J12" i="1" l="1"/>
  <c r="J9" i="1"/>
  <c r="J8" i="1" l="1"/>
  <c r="J5" i="1"/>
  <c r="J18" i="1" l="1"/>
  <c r="J19" i="1" l="1"/>
  <c r="J23" i="1" s="1"/>
</calcChain>
</file>

<file path=xl/sharedStrings.xml><?xml version="1.0" encoding="utf-8"?>
<sst xmlns="http://schemas.openxmlformats.org/spreadsheetml/2006/main" count="74" uniqueCount="54">
  <si>
    <t>Input data</t>
  </si>
  <si>
    <t>Tightening interface</t>
  </si>
  <si>
    <t>Steel-steel friction coefficient</t>
  </si>
  <si>
    <t>-</t>
  </si>
  <si>
    <t>N</t>
  </si>
  <si>
    <t>Thread data</t>
  </si>
  <si>
    <t>Mean diameter</t>
  </si>
  <si>
    <t>mm</t>
  </si>
  <si>
    <t>Root diameter</t>
  </si>
  <si>
    <t>Pitch</t>
  </si>
  <si>
    <t>°</t>
  </si>
  <si>
    <t>Thread friction coefficient</t>
  </si>
  <si>
    <t>Outer contact diameter</t>
  </si>
  <si>
    <t>Inner contact diameter</t>
  </si>
  <si>
    <t>Nut friction coefficient</t>
  </si>
  <si>
    <t>Nut friction diameter</t>
  </si>
  <si>
    <t>Tightening torque</t>
  </si>
  <si>
    <t>Nmm</t>
  </si>
  <si>
    <t>Nm</t>
  </si>
  <si>
    <t>mm^2</t>
  </si>
  <si>
    <t>MPa</t>
  </si>
  <si>
    <t>Tensile Yield strength</t>
  </si>
  <si>
    <t>Minimum diameter</t>
  </si>
  <si>
    <t>Minimum area</t>
  </si>
  <si>
    <t>Strength data</t>
  </si>
  <si>
    <t>Axial load from tightening min</t>
  </si>
  <si>
    <t>Thread friction torque min</t>
  </si>
  <si>
    <t>Axial load from tightening max</t>
  </si>
  <si>
    <t>Thread friction torque max</t>
  </si>
  <si>
    <t xml:space="preserve">Tightening torque uncertainty </t>
  </si>
  <si>
    <t>Tightening torque scale factor min</t>
  </si>
  <si>
    <t>Tightening torque scale factor max</t>
  </si>
  <si>
    <t>Shear stress from pure shear load - circular section</t>
  </si>
  <si>
    <t>Shear stress due to torsion load - circular section</t>
  </si>
  <si>
    <t>Torque due to friction at the contact surface between the bolt and the nut threads</t>
  </si>
  <si>
    <t>Axial force-torque relationship</t>
  </si>
  <si>
    <t>Thread angle</t>
  </si>
  <si>
    <t>Axial load from tightening nominal</t>
  </si>
  <si>
    <t>Thread friction torque nominal</t>
  </si>
  <si>
    <t>Maximum tightening torque</t>
  </si>
  <si>
    <t>Maximum diameter</t>
  </si>
  <si>
    <t>Top hat data</t>
  </si>
  <si>
    <t>lubricated</t>
  </si>
  <si>
    <t>Axial notch coeff</t>
  </si>
  <si>
    <t>Torsion notch coeff</t>
  </si>
  <si>
    <t>Tigtening SF groove max</t>
  </si>
  <si>
    <t>Tigtening SF groove nom</t>
  </si>
  <si>
    <t>Max external load</t>
  </si>
  <si>
    <t>Peak x+ load</t>
  </si>
  <si>
    <t>Max bottoming load</t>
  </si>
  <si>
    <t>Nom tensile load (nut)</t>
  </si>
  <si>
    <t>Max tensile load (nut)</t>
  </si>
  <si>
    <t>Compressive stress groove</t>
  </si>
  <si>
    <t>Groove compressive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</si>
</sst>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76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1" xfId="0" applyBorder="1"/>
    <xf numFmtId="0" fontId="0" fillId="0" borderId="5" xfId="0" quotePrefix="1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0" xfId="0" applyBorder="1"/>
    <xf numFmtId="0" fontId="0" fillId="0" borderId="0" xfId="0" applyAlignment="1"/>
    <xf numFmtId="1" fontId="0" fillId="0" borderId="13" xfId="0" applyNumberFormat="1" applyBorder="1"/>
    <xf numFmtId="0" fontId="0" fillId="3" borderId="23" xfId="0" applyFill="1" applyBorder="1"/>
    <xf numFmtId="0" fontId="0" fillId="3" borderId="0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3" xfId="0" applyFill="1" applyBorder="1"/>
    <xf numFmtId="0" fontId="0" fillId="3" borderId="26" xfId="0" applyFill="1" applyBorder="1"/>
    <xf numFmtId="0" fontId="0" fillId="3" borderId="0" xfId="0" applyFill="1"/>
    <xf numFmtId="0" fontId="0" fillId="0" borderId="4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" fontId="0" fillId="0" borderId="7" xfId="0" applyNumberFormat="1" applyBorder="1"/>
    <xf numFmtId="1" fontId="0" fillId="3" borderId="0" xfId="0" applyNumberFormat="1" applyFill="1" applyBorder="1"/>
    <xf numFmtId="1" fontId="0" fillId="2" borderId="0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quotePrefix="1" applyBorder="1"/>
    <xf numFmtId="0" fontId="0" fillId="4" borderId="0" xfId="0" quotePrefix="1" applyFill="1" applyBorder="1"/>
    <xf numFmtId="1" fontId="0" fillId="0" borderId="0" xfId="0" applyNumberFormat="1" applyBorder="1"/>
    <xf numFmtId="164" fontId="0" fillId="2" borderId="10" xfId="0" applyNumberFormat="1" applyFill="1" applyBorder="1"/>
    <xf numFmtId="1" fontId="0" fillId="2" borderId="13" xfId="0" applyNumberFormat="1" applyFill="1" applyBorder="1"/>
    <xf numFmtId="164" fontId="0" fillId="0" borderId="10" xfId="0" applyNumberFormat="1" applyBorder="1"/>
    <xf numFmtId="164" fontId="0" fillId="0" borderId="7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/>
    <xf numFmtId="0" fontId="1" fillId="3" borderId="2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5" borderId="0" xfId="1" applyBorder="1"/>
    <xf numFmtId="1" fontId="0" fillId="0" borderId="7" xfId="0" applyNumberFormat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8" xfId="0" applyBorder="1" applyAlignment="1"/>
    <xf numFmtId="164" fontId="0" fillId="0" borderId="10" xfId="0" applyNumberFormat="1" applyBorder="1" applyAlignment="1"/>
    <xf numFmtId="0" fontId="0" fillId="0" borderId="11" xfId="0" applyBorder="1" applyAlignme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381000</xdr:colOff>
      <xdr:row>2</xdr:row>
      <xdr:rowOff>114300</xdr:rowOff>
    </xdr:from>
    <xdr:to>
      <xdr:col>17</xdr:col>
      <xdr:colOff>434337</xdr:colOff>
      <xdr:row>5</xdr:row>
      <xdr:rowOff>115526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CD309F-EF49-4722-BFE7-A3A717ED4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03275" y="6124575"/>
          <a:ext cx="1882137" cy="570345"/>
        </a:xfrm>
        <a:prstGeom prst="rect">
          <a:avLst/>
        </a:prstGeom>
      </xdr:spPr>
    </xdr:pic>
    <xdr:clientData/>
  </xdr:twoCellAnchor>
  <xdr:twoCellAnchor editAs="oneCell">
    <xdr:from>
      <xdr:col>15</xdr:col>
      <xdr:colOff>215990</xdr:colOff>
      <xdr:row>7</xdr:row>
      <xdr:rowOff>47626</xdr:rowOff>
    </xdr:from>
    <xdr:to>
      <xdr:col>17</xdr:col>
      <xdr:colOff>56931</xdr:colOff>
      <xdr:row>10</xdr:row>
      <xdr:rowOff>180976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345300-4EB3-4104-86E8-B26C6C1C7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47865" y="7019926"/>
          <a:ext cx="1060140" cy="704850"/>
        </a:xfrm>
        <a:prstGeom prst="rect">
          <a:avLst/>
        </a:prstGeom>
      </xdr:spPr>
    </xdr:pic>
    <xdr:clientData/>
  </xdr:twoCellAnchor>
  <xdr:twoCellAnchor editAs="oneCell">
    <xdr:from>
      <xdr:col>12</xdr:col>
      <xdr:colOff>514350</xdr:colOff>
      <xdr:row>18</xdr:row>
      <xdr:rowOff>67108</xdr:rowOff>
    </xdr:from>
    <xdr:to>
      <xdr:col>20</xdr:col>
      <xdr:colOff>360929</xdr:colOff>
      <xdr:row>21</xdr:row>
      <xdr:rowOff>155562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A6D44E-D311-497E-BC1B-19E9187B6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117425" y="9173008"/>
          <a:ext cx="4723379" cy="655872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13</xdr:row>
      <xdr:rowOff>124258</xdr:rowOff>
    </xdr:from>
    <xdr:to>
      <xdr:col>20</xdr:col>
      <xdr:colOff>543326</xdr:colOff>
      <xdr:row>16</xdr:row>
      <xdr:rowOff>83344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5D73C8-A93F-4C38-87C7-B81D8D5AD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93575" y="8249083"/>
          <a:ext cx="5229626" cy="523442"/>
        </a:xfrm>
        <a:prstGeom prst="rect">
          <a:avLst/>
        </a:prstGeom>
      </xdr:spPr>
    </xdr:pic>
    <xdr:clientData/>
  </xdr:twoCellAnchor>
  <xdr:twoCellAnchor editAs="oneCell">
    <xdr:from>
      <xdr:col>12</xdr:col>
      <xdr:colOff>330992</xdr:colOff>
      <xdr:row>25</xdr:row>
      <xdr:rowOff>180975</xdr:rowOff>
    </xdr:from>
    <xdr:to>
      <xdr:col>18</xdr:col>
      <xdr:colOff>73816</xdr:colOff>
      <xdr:row>37</xdr:row>
      <xdr:rowOff>169511</xdr:rowOff>
    </xdr:to>
    <xdr:pic>
      <xdr:nvPicPr>
        <xdr:cNvPr id="7" name="Picture 6" descr="Unified Thread Standard - Wikipedia">
          <a:extLst>
            <a:ext uri="{FF2B5EF4-FFF2-40B4-BE49-F238E27FC236}">
              <a16:creationId xmlns:a16="http://schemas.microsoft.com/office/drawing/2014/main" id="{17A4F266-14C4-49ED-B75F-70F910A2B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6342" y="4981575"/>
          <a:ext cx="3400424" cy="2284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466725</xdr:colOff>
      <xdr:row>39</xdr:row>
      <xdr:rowOff>95250</xdr:rowOff>
    </xdr:from>
    <xdr:to>
      <xdr:col>14</xdr:col>
      <xdr:colOff>94438</xdr:colOff>
      <xdr:row>56</xdr:row>
      <xdr:rowOff>113774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7C57C-E363-44B6-BA6D-9E0A285AF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00" y="7572375"/>
          <a:ext cx="4494988" cy="325702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39</xdr:row>
      <xdr:rowOff>85725</xdr:rowOff>
    </xdr:from>
    <xdr:to>
      <xdr:col>7</xdr:col>
      <xdr:colOff>231507</xdr:colOff>
      <xdr:row>61</xdr:row>
      <xdr:rowOff>75299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6E7828D-342C-480C-B2E3-4797B174D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1475" y="7562850"/>
          <a:ext cx="4727307" cy="4180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8810-6E9F-4C6F-BD2A-32F9728A830D}">
  <dimension ref="B1:U51"/>
  <sheetViews>
    <sheetView tabSelected="1" zoomScaleNormal="100" workbookViewId="0">
      <selection activeCell="B1" sqref="B1"/>
    </sheetView>
  </sheetViews>
  <sheetFormatPr defaultRowHeight="15" x14ac:dyDescent="0.25"/>
  <cols>
    <col min="1" max="1" width="3.7109375" customWidth="1"/>
    <col min="2" max="2" width="28.140625" bestFit="1" customWidth="1"/>
    <col min="3" max="4" width="9.140625" customWidth="1"/>
    <col min="5" max="5" width="10" style="31" bestFit="1" customWidth="1"/>
    <col min="6" max="6" width="3.7109375" customWidth="1"/>
    <col min="9" max="9" width="18.140625" customWidth="1"/>
  </cols>
  <sheetData>
    <row r="1" spans="2:21" ht="15.75" thickBot="1" x14ac:dyDescent="0.3"/>
    <row r="2" spans="2:21" x14ac:dyDescent="0.25">
      <c r="B2" s="50" t="s">
        <v>0</v>
      </c>
      <c r="C2" s="51"/>
      <c r="D2" s="52"/>
      <c r="E2" s="33"/>
      <c r="G2" s="63" t="s">
        <v>16</v>
      </c>
      <c r="H2" s="64"/>
      <c r="I2" s="64"/>
      <c r="J2" s="64"/>
      <c r="K2" s="65"/>
      <c r="M2" s="60" t="s">
        <v>32</v>
      </c>
      <c r="N2" s="61"/>
      <c r="O2" s="61"/>
      <c r="P2" s="61"/>
      <c r="Q2" s="61"/>
      <c r="R2" s="61"/>
      <c r="S2" s="61"/>
      <c r="T2" s="61"/>
      <c r="U2" s="62"/>
    </row>
    <row r="3" spans="2:21" x14ac:dyDescent="0.25">
      <c r="B3" s="41" t="s">
        <v>1</v>
      </c>
      <c r="C3" s="42"/>
      <c r="D3" s="43"/>
      <c r="E3" s="32"/>
      <c r="G3" s="23"/>
      <c r="H3" s="16"/>
      <c r="I3" s="16"/>
      <c r="J3" s="16"/>
      <c r="K3" s="24"/>
      <c r="M3" s="15"/>
      <c r="N3" s="16"/>
      <c r="O3" s="16"/>
      <c r="P3" s="16"/>
      <c r="Q3" s="16"/>
      <c r="R3" s="16"/>
      <c r="S3" s="16"/>
      <c r="T3" s="16"/>
      <c r="U3" s="17"/>
    </row>
    <row r="4" spans="2:21" x14ac:dyDescent="0.25">
      <c r="B4" s="4" t="s">
        <v>2</v>
      </c>
      <c r="C4" s="12">
        <v>0.2</v>
      </c>
      <c r="D4" s="8" t="s">
        <v>3</v>
      </c>
      <c r="E4" s="34"/>
      <c r="G4" s="53" t="s">
        <v>16</v>
      </c>
      <c r="H4" s="54"/>
      <c r="I4" s="54"/>
      <c r="J4" s="2">
        <v>105000</v>
      </c>
      <c r="K4" s="3" t="s">
        <v>17</v>
      </c>
      <c r="M4" s="15"/>
      <c r="N4" s="16"/>
      <c r="O4" s="16"/>
      <c r="P4" s="16"/>
      <c r="Q4" s="16"/>
      <c r="R4" s="16"/>
      <c r="S4" s="16"/>
      <c r="T4" s="16"/>
      <c r="U4" s="17"/>
    </row>
    <row r="5" spans="2:21" x14ac:dyDescent="0.25">
      <c r="B5" s="1"/>
      <c r="C5" s="2"/>
      <c r="D5" s="3"/>
      <c r="E5" s="12"/>
      <c r="G5" s="55"/>
      <c r="H5" s="56"/>
      <c r="I5" s="56"/>
      <c r="J5" s="11">
        <f>J4*10^-3</f>
        <v>105</v>
      </c>
      <c r="K5" s="10" t="s">
        <v>18</v>
      </c>
      <c r="M5" s="15"/>
      <c r="N5" s="16"/>
      <c r="O5" s="16"/>
      <c r="P5" s="16"/>
      <c r="Q5" s="16"/>
      <c r="R5" s="16"/>
      <c r="S5" s="16"/>
      <c r="T5" s="16"/>
      <c r="U5" s="17"/>
    </row>
    <row r="6" spans="2:21" x14ac:dyDescent="0.25">
      <c r="B6" s="41" t="s">
        <v>5</v>
      </c>
      <c r="C6" s="42"/>
      <c r="D6" s="43"/>
      <c r="E6" s="32"/>
      <c r="G6" s="23"/>
      <c r="H6" s="16"/>
      <c r="I6" s="16"/>
      <c r="J6" s="16"/>
      <c r="K6" s="24"/>
      <c r="M6" s="18"/>
      <c r="N6" s="19"/>
      <c r="O6" s="19"/>
      <c r="P6" s="19"/>
      <c r="Q6" s="19"/>
      <c r="R6" s="19"/>
      <c r="S6" s="19"/>
      <c r="T6" s="19"/>
      <c r="U6" s="20"/>
    </row>
    <row r="7" spans="2:21" x14ac:dyDescent="0.25">
      <c r="B7" s="4" t="s">
        <v>6</v>
      </c>
      <c r="C7" s="12">
        <v>18.600000000000001</v>
      </c>
      <c r="D7" s="5" t="s">
        <v>7</v>
      </c>
      <c r="E7" s="12"/>
      <c r="G7" s="48" t="s">
        <v>29</v>
      </c>
      <c r="H7" s="49"/>
      <c r="I7" s="49"/>
      <c r="J7" s="2">
        <v>0.125</v>
      </c>
      <c r="K7" s="3"/>
      <c r="M7" s="60" t="s">
        <v>33</v>
      </c>
      <c r="N7" s="61"/>
      <c r="O7" s="61"/>
      <c r="P7" s="61"/>
      <c r="Q7" s="61"/>
      <c r="R7" s="61"/>
      <c r="S7" s="61"/>
      <c r="T7" s="61"/>
      <c r="U7" s="62"/>
    </row>
    <row r="8" spans="2:21" x14ac:dyDescent="0.25">
      <c r="B8" s="4" t="s">
        <v>8</v>
      </c>
      <c r="C8" s="12">
        <v>0</v>
      </c>
      <c r="D8" s="5" t="s">
        <v>7</v>
      </c>
      <c r="E8" s="12"/>
      <c r="G8" s="44" t="s">
        <v>30</v>
      </c>
      <c r="H8" s="45"/>
      <c r="I8" s="45"/>
      <c r="J8" s="12">
        <f>1-J7</f>
        <v>0.875</v>
      </c>
      <c r="K8" s="5"/>
      <c r="M8" s="15"/>
      <c r="N8" s="16"/>
      <c r="O8" s="16"/>
      <c r="P8" s="16"/>
      <c r="Q8" s="16"/>
      <c r="R8" s="16"/>
      <c r="S8" s="16"/>
      <c r="T8" s="16"/>
      <c r="U8" s="17"/>
    </row>
    <row r="9" spans="2:21" x14ac:dyDescent="0.25">
      <c r="B9" s="4" t="s">
        <v>9</v>
      </c>
      <c r="C9" s="12">
        <v>1.5</v>
      </c>
      <c r="D9" s="5" t="s">
        <v>7</v>
      </c>
      <c r="E9" s="12"/>
      <c r="G9" s="46" t="s">
        <v>31</v>
      </c>
      <c r="H9" s="47"/>
      <c r="I9" s="47"/>
      <c r="J9" s="11">
        <f>1+J7</f>
        <v>1.125</v>
      </c>
      <c r="K9" s="10"/>
      <c r="M9" s="15"/>
      <c r="N9" s="16"/>
      <c r="O9" s="16"/>
      <c r="P9" s="16"/>
      <c r="Q9" s="16"/>
      <c r="R9" s="16"/>
      <c r="S9" s="16"/>
      <c r="T9" s="16"/>
      <c r="U9" s="17"/>
    </row>
    <row r="10" spans="2:21" x14ac:dyDescent="0.25">
      <c r="B10" s="22" t="s">
        <v>36</v>
      </c>
      <c r="C10" s="12">
        <v>30</v>
      </c>
      <c r="D10" s="5" t="s">
        <v>10</v>
      </c>
      <c r="E10" s="12"/>
      <c r="G10" s="23"/>
      <c r="H10" s="16"/>
      <c r="I10" s="16"/>
      <c r="J10" s="16"/>
      <c r="K10" s="24"/>
      <c r="M10" s="15"/>
      <c r="N10" s="16"/>
      <c r="O10" s="16"/>
      <c r="P10" s="16"/>
      <c r="Q10" s="16"/>
      <c r="R10" s="16"/>
      <c r="S10" s="16"/>
      <c r="T10" s="16"/>
      <c r="U10" s="17"/>
    </row>
    <row r="11" spans="2:21" x14ac:dyDescent="0.25">
      <c r="B11" s="4" t="s">
        <v>11</v>
      </c>
      <c r="C11" s="30">
        <v>0.14000000000000001</v>
      </c>
      <c r="D11" s="5"/>
      <c r="E11" s="12"/>
      <c r="G11" s="48" t="s">
        <v>25</v>
      </c>
      <c r="H11" s="49"/>
      <c r="I11" s="49"/>
      <c r="J11" s="27">
        <f>J8*2*J4/($C$9/PI()+$C$7*$C$11/COS($C$10*PI()/180)+$C$17*$C$16)</f>
        <v>26729.974763356728</v>
      </c>
      <c r="K11" s="3" t="s">
        <v>4</v>
      </c>
      <c r="M11" s="15"/>
      <c r="N11" s="16"/>
      <c r="O11" s="16"/>
      <c r="P11" s="16"/>
      <c r="Q11" s="16"/>
      <c r="R11" s="16"/>
      <c r="S11" s="16"/>
      <c r="T11" s="16"/>
      <c r="U11" s="17"/>
    </row>
    <row r="12" spans="2:21" x14ac:dyDescent="0.25">
      <c r="B12" s="9"/>
      <c r="C12" s="11"/>
      <c r="D12" s="10"/>
      <c r="E12" s="12"/>
      <c r="G12" s="46" t="s">
        <v>26</v>
      </c>
      <c r="H12" s="47"/>
      <c r="I12" s="47"/>
      <c r="J12" s="14">
        <f>J11/2*(($C$9/PI()+$C$7*$C$11/COS($C$10*PI()/180)))</f>
        <v>46567.692776110351</v>
      </c>
      <c r="K12" s="10" t="s">
        <v>17</v>
      </c>
      <c r="M12" s="18"/>
      <c r="N12" s="19"/>
      <c r="O12" s="19"/>
      <c r="P12" s="19"/>
      <c r="Q12" s="19"/>
      <c r="R12" s="19"/>
      <c r="S12" s="19"/>
      <c r="T12" s="19"/>
      <c r="U12" s="20"/>
    </row>
    <row r="13" spans="2:21" x14ac:dyDescent="0.25">
      <c r="B13" s="41" t="s">
        <v>41</v>
      </c>
      <c r="C13" s="42"/>
      <c r="D13" s="43"/>
      <c r="E13" s="32"/>
      <c r="G13" s="25"/>
      <c r="H13" s="26"/>
      <c r="I13" s="26"/>
      <c r="J13" s="28"/>
      <c r="K13" s="24"/>
      <c r="M13" s="60" t="s">
        <v>35</v>
      </c>
      <c r="N13" s="61"/>
      <c r="O13" s="61"/>
      <c r="P13" s="61"/>
      <c r="Q13" s="61"/>
      <c r="R13" s="61"/>
      <c r="S13" s="61"/>
      <c r="T13" s="61"/>
      <c r="U13" s="62"/>
    </row>
    <row r="14" spans="2:21" x14ac:dyDescent="0.25">
      <c r="B14" s="4" t="s">
        <v>12</v>
      </c>
      <c r="C14" s="12">
        <v>35</v>
      </c>
      <c r="D14" s="5" t="s">
        <v>7</v>
      </c>
      <c r="E14" s="12"/>
      <c r="G14" s="48" t="s">
        <v>39</v>
      </c>
      <c r="H14" s="49"/>
      <c r="I14" s="49"/>
      <c r="J14" s="27">
        <f>J4*J9</f>
        <v>118125</v>
      </c>
      <c r="K14" s="3"/>
      <c r="M14" s="15"/>
      <c r="N14" s="16"/>
      <c r="O14" s="16"/>
      <c r="P14" s="16"/>
      <c r="Q14" s="16"/>
      <c r="R14" s="16"/>
      <c r="S14" s="16"/>
      <c r="T14" s="16"/>
      <c r="U14" s="17"/>
    </row>
    <row r="15" spans="2:21" x14ac:dyDescent="0.25">
      <c r="B15" s="4" t="s">
        <v>13</v>
      </c>
      <c r="C15" s="12">
        <v>21.5</v>
      </c>
      <c r="D15" s="5" t="s">
        <v>7</v>
      </c>
      <c r="E15" s="12"/>
      <c r="G15" s="44" t="s">
        <v>27</v>
      </c>
      <c r="H15" s="45"/>
      <c r="I15" s="45"/>
      <c r="J15" s="29">
        <f>J9*2*J4/(C9/PI()+$C$7*$C$11/COS($C$10*PI()/180)+$C$17*$C$16)</f>
        <v>34367.11041003008</v>
      </c>
      <c r="K15" s="5" t="s">
        <v>4</v>
      </c>
      <c r="M15" s="15"/>
      <c r="N15" s="16"/>
      <c r="O15" s="16"/>
      <c r="P15" s="16"/>
      <c r="Q15" s="16"/>
      <c r="R15" s="16"/>
      <c r="S15" s="16"/>
      <c r="T15" s="16"/>
      <c r="U15" s="17"/>
    </row>
    <row r="16" spans="2:21" x14ac:dyDescent="0.25">
      <c r="B16" s="4" t="s">
        <v>14</v>
      </c>
      <c r="C16" s="30">
        <v>0.12</v>
      </c>
      <c r="D16" s="8" t="s">
        <v>3</v>
      </c>
      <c r="E16" s="35" t="s">
        <v>42</v>
      </c>
      <c r="G16" s="46" t="s">
        <v>28</v>
      </c>
      <c r="H16" s="47"/>
      <c r="I16" s="47"/>
      <c r="J16" s="38">
        <f>J15/2*((C9/PI()+$C$7*$C$11/COS($C$10*PI()/180)))</f>
        <v>59872.747854999019</v>
      </c>
      <c r="K16" s="10" t="s">
        <v>17</v>
      </c>
      <c r="M16" s="15"/>
      <c r="N16" s="16"/>
      <c r="O16" s="16"/>
      <c r="P16" s="16"/>
      <c r="Q16" s="16"/>
      <c r="R16" s="16"/>
      <c r="S16" s="16"/>
      <c r="T16" s="16"/>
      <c r="U16" s="17"/>
    </row>
    <row r="17" spans="2:21" x14ac:dyDescent="0.25">
      <c r="B17" s="9" t="s">
        <v>15</v>
      </c>
      <c r="C17" s="11">
        <f>(C14+C15)/2</f>
        <v>28.25</v>
      </c>
      <c r="D17" s="10" t="s">
        <v>7</v>
      </c>
      <c r="E17" s="12"/>
      <c r="G17" s="23"/>
      <c r="H17" s="16"/>
      <c r="I17" s="16"/>
      <c r="J17" s="28"/>
      <c r="K17" s="24"/>
      <c r="M17" s="18"/>
      <c r="N17" s="19"/>
      <c r="O17" s="19"/>
      <c r="P17" s="19"/>
      <c r="Q17" s="19"/>
      <c r="R17" s="19"/>
      <c r="S17" s="19"/>
      <c r="T17" s="19"/>
      <c r="U17" s="20"/>
    </row>
    <row r="18" spans="2:21" x14ac:dyDescent="0.25">
      <c r="B18" s="4"/>
      <c r="C18" s="12"/>
      <c r="D18" s="5"/>
      <c r="E18" s="12"/>
      <c r="G18" s="48" t="s">
        <v>37</v>
      </c>
      <c r="H18" s="49"/>
      <c r="I18" s="49"/>
      <c r="J18" s="27">
        <f>2*J4/(C9/PI()+$C$7*$C$11/COS($C$10*PI()/180)+$C$17*$C$16)</f>
        <v>30548.542586693406</v>
      </c>
      <c r="K18" s="3" t="s">
        <v>4</v>
      </c>
      <c r="M18" s="60" t="s">
        <v>34</v>
      </c>
      <c r="N18" s="61"/>
      <c r="O18" s="61"/>
      <c r="P18" s="61"/>
      <c r="Q18" s="61"/>
      <c r="R18" s="61"/>
      <c r="S18" s="61"/>
      <c r="T18" s="61"/>
      <c r="U18" s="62"/>
    </row>
    <row r="19" spans="2:21" x14ac:dyDescent="0.25">
      <c r="B19" s="41" t="s">
        <v>24</v>
      </c>
      <c r="C19" s="42"/>
      <c r="D19" s="43"/>
      <c r="E19" s="32"/>
      <c r="G19" s="46" t="s">
        <v>38</v>
      </c>
      <c r="H19" s="47"/>
      <c r="I19" s="47"/>
      <c r="J19" s="14">
        <f>J18/2*((C9/PI()+$C$7*$C$11/COS($C$10*PI()/180)))</f>
        <v>53220.220315554689</v>
      </c>
      <c r="K19" s="10" t="s">
        <v>17</v>
      </c>
      <c r="M19" s="15"/>
      <c r="N19" s="16"/>
      <c r="O19" s="16"/>
      <c r="P19" s="16"/>
      <c r="Q19" s="16"/>
      <c r="R19" s="16"/>
      <c r="S19" s="16"/>
      <c r="T19" s="16"/>
      <c r="U19" s="17"/>
    </row>
    <row r="20" spans="2:21" x14ac:dyDescent="0.25">
      <c r="B20" s="4" t="s">
        <v>21</v>
      </c>
      <c r="C20" s="30">
        <v>1172</v>
      </c>
      <c r="D20" s="5" t="s">
        <v>20</v>
      </c>
      <c r="E20" s="12"/>
      <c r="G20" s="44"/>
      <c r="H20" s="45"/>
      <c r="I20" s="45"/>
      <c r="J20" s="36"/>
      <c r="K20" s="5"/>
      <c r="M20" s="15"/>
      <c r="N20" s="16"/>
      <c r="O20" s="16"/>
      <c r="P20" s="16"/>
      <c r="Q20" s="16"/>
      <c r="R20" s="16"/>
      <c r="S20" s="16"/>
      <c r="T20" s="16"/>
      <c r="U20" s="17"/>
    </row>
    <row r="21" spans="2:21" s="31" customFormat="1" x14ac:dyDescent="0.25">
      <c r="B21" s="4" t="s">
        <v>40</v>
      </c>
      <c r="C21" s="30">
        <f>8.85*2</f>
        <v>17.7</v>
      </c>
      <c r="D21" s="5" t="s">
        <v>7</v>
      </c>
      <c r="E21" s="12"/>
      <c r="G21" s="1" t="s">
        <v>43</v>
      </c>
      <c r="H21" s="2"/>
      <c r="I21" s="2"/>
      <c r="J21" s="2">
        <v>2.1</v>
      </c>
      <c r="K21" s="3"/>
      <c r="M21" s="15"/>
      <c r="N21" s="16"/>
      <c r="O21" s="16"/>
      <c r="P21" s="16"/>
      <c r="Q21" s="16"/>
      <c r="R21" s="16"/>
      <c r="S21" s="16"/>
      <c r="T21" s="16"/>
      <c r="U21" s="17"/>
    </row>
    <row r="22" spans="2:21" x14ac:dyDescent="0.25">
      <c r="B22" s="4" t="s">
        <v>22</v>
      </c>
      <c r="C22" s="12">
        <f>6.5*2</f>
        <v>13</v>
      </c>
      <c r="D22" s="5" t="s">
        <v>7</v>
      </c>
      <c r="E22" s="12"/>
      <c r="G22" s="4" t="s">
        <v>44</v>
      </c>
      <c r="H22" s="12"/>
      <c r="I22" s="12"/>
      <c r="J22" s="12">
        <v>1.5</v>
      </c>
      <c r="K22" s="5"/>
      <c r="M22" s="15"/>
      <c r="N22" s="16"/>
      <c r="O22" s="16"/>
      <c r="P22" s="16"/>
      <c r="Q22" s="16"/>
      <c r="R22" s="16"/>
      <c r="S22" s="16"/>
      <c r="T22" s="16"/>
      <c r="U22" s="17"/>
    </row>
    <row r="23" spans="2:21" ht="15.75" thickBot="1" x14ac:dyDescent="0.3">
      <c r="B23" s="6" t="s">
        <v>23</v>
      </c>
      <c r="C23" s="39">
        <f>(C21^2-C22^2)/4*PI()</f>
        <v>113.32510099661778</v>
      </c>
      <c r="D23" s="7" t="s">
        <v>19</v>
      </c>
      <c r="E23" s="12"/>
      <c r="G23" s="48" t="s">
        <v>46</v>
      </c>
      <c r="H23" s="49"/>
      <c r="I23" s="49"/>
      <c r="J23" s="40">
        <f>$C$20/(SQRT((($J$18/$C$23)*J21)^2+3*((16*$J$19/(PI()*($C$21^3-$C$22^2)))*J22)^2))</f>
        <v>2.0170586999424196</v>
      </c>
      <c r="K23" s="3"/>
      <c r="M23" s="18"/>
      <c r="N23" s="19"/>
      <c r="O23" s="19"/>
      <c r="P23" s="19"/>
      <c r="Q23" s="19"/>
      <c r="R23" s="19"/>
      <c r="S23" s="19"/>
      <c r="T23" s="19"/>
      <c r="U23" s="20"/>
    </row>
    <row r="24" spans="2:21" ht="15.75" thickBot="1" x14ac:dyDescent="0.3">
      <c r="G24" s="57" t="s">
        <v>45</v>
      </c>
      <c r="H24" s="58"/>
      <c r="I24" s="58"/>
      <c r="J24" s="37">
        <f>$C$20/(SQRT((($J$15/$C$23)*J21)^2+3*((16*$J$16/(PI()*($C$21^3-$C$22^2)))*J22)^2))</f>
        <v>1.7929410666154844</v>
      </c>
      <c r="K24" s="7"/>
    </row>
    <row r="25" spans="2:21" ht="15.75" thickBot="1" x14ac:dyDescent="0.3"/>
    <row r="26" spans="2:21" x14ac:dyDescent="0.25">
      <c r="F26" s="13"/>
      <c r="G26" s="68" t="s">
        <v>50</v>
      </c>
      <c r="H26" s="69"/>
      <c r="I26" s="69"/>
      <c r="J26" s="70">
        <v>39064.431079565569</v>
      </c>
      <c r="K26" s="71" t="s">
        <v>4</v>
      </c>
      <c r="M26" s="21"/>
      <c r="N26" s="21"/>
      <c r="O26" s="21"/>
      <c r="P26" s="21"/>
      <c r="Q26" s="21"/>
      <c r="R26" s="21"/>
      <c r="S26" s="21"/>
    </row>
    <row r="27" spans="2:21" x14ac:dyDescent="0.25">
      <c r="F27" s="13"/>
      <c r="G27" s="44" t="s">
        <v>51</v>
      </c>
      <c r="H27" s="45"/>
      <c r="I27" s="45"/>
      <c r="J27" s="36">
        <v>47646.480390471566</v>
      </c>
      <c r="K27" s="5" t="s">
        <v>4</v>
      </c>
      <c r="M27" s="21"/>
      <c r="N27" s="21"/>
      <c r="O27" s="21"/>
      <c r="P27" s="21"/>
      <c r="Q27" s="21"/>
      <c r="R27" s="21"/>
      <c r="S27" s="21"/>
    </row>
    <row r="28" spans="2:21" x14ac:dyDescent="0.25">
      <c r="F28" s="13"/>
      <c r="G28" s="44" t="s">
        <v>47</v>
      </c>
      <c r="H28" s="45"/>
      <c r="I28" s="45"/>
      <c r="J28" s="12">
        <v>29015</v>
      </c>
      <c r="K28" s="5" t="s">
        <v>4</v>
      </c>
      <c r="M28" s="21"/>
      <c r="N28" s="21"/>
      <c r="O28" s="21"/>
      <c r="P28" s="21"/>
      <c r="Q28" s="21"/>
      <c r="R28" s="21"/>
      <c r="S28" s="21"/>
    </row>
    <row r="29" spans="2:21" x14ac:dyDescent="0.25">
      <c r="F29" s="13"/>
      <c r="G29" s="44" t="s">
        <v>49</v>
      </c>
      <c r="H29" s="45"/>
      <c r="I29" s="45"/>
      <c r="J29" s="66">
        <v>60000</v>
      </c>
      <c r="K29" s="5" t="s">
        <v>4</v>
      </c>
      <c r="M29" s="21"/>
      <c r="N29" s="21"/>
      <c r="O29" s="21"/>
      <c r="P29" s="21"/>
      <c r="Q29" s="21"/>
      <c r="R29" s="21"/>
      <c r="S29" s="21"/>
    </row>
    <row r="30" spans="2:21" x14ac:dyDescent="0.25">
      <c r="F30" s="13"/>
      <c r="G30" s="46" t="s">
        <v>48</v>
      </c>
      <c r="H30" s="47"/>
      <c r="I30" s="47"/>
      <c r="J30" s="14">
        <f>J28+J27+J29-J15</f>
        <v>102294.36998044149</v>
      </c>
      <c r="K30" s="10" t="s">
        <v>4</v>
      </c>
      <c r="M30" s="21"/>
      <c r="N30" s="21"/>
      <c r="O30" s="21"/>
      <c r="P30" s="21"/>
      <c r="Q30" s="21"/>
      <c r="R30" s="21"/>
      <c r="S30" s="21"/>
    </row>
    <row r="31" spans="2:21" x14ac:dyDescent="0.25">
      <c r="F31" s="13"/>
      <c r="G31" s="48"/>
      <c r="H31" s="49"/>
      <c r="I31" s="49"/>
      <c r="J31" s="49"/>
      <c r="K31" s="72"/>
      <c r="M31" s="21"/>
      <c r="N31" s="21"/>
      <c r="O31" s="21"/>
      <c r="P31" s="21"/>
      <c r="Q31" s="21"/>
      <c r="R31" s="21"/>
      <c r="S31" s="21"/>
    </row>
    <row r="32" spans="2:21" x14ac:dyDescent="0.25">
      <c r="F32" s="13"/>
      <c r="G32" s="48" t="s">
        <v>52</v>
      </c>
      <c r="H32" s="49"/>
      <c r="I32" s="49"/>
      <c r="J32" s="67">
        <f>J30/C23</f>
        <v>902.66295005106156</v>
      </c>
      <c r="K32" s="73" t="s">
        <v>4</v>
      </c>
      <c r="M32" s="21"/>
      <c r="N32" s="21"/>
      <c r="O32" s="21"/>
      <c r="P32" s="21"/>
      <c r="Q32" s="21"/>
      <c r="R32" s="21"/>
      <c r="S32" s="21"/>
    </row>
    <row r="33" spans="6:19" ht="15.75" thickBot="1" x14ac:dyDescent="0.3">
      <c r="F33" s="13"/>
      <c r="G33" s="57" t="s">
        <v>53</v>
      </c>
      <c r="H33" s="58"/>
      <c r="I33" s="58"/>
      <c r="J33" s="74">
        <f>C20/J32</f>
        <v>1.2983805305554001</v>
      </c>
      <c r="K33" s="75"/>
      <c r="M33" s="21"/>
      <c r="N33" s="21"/>
      <c r="O33" s="21"/>
      <c r="P33" s="21"/>
      <c r="Q33" s="21"/>
      <c r="R33" s="21"/>
      <c r="S33" s="21"/>
    </row>
    <row r="34" spans="6:19" x14ac:dyDescent="0.25">
      <c r="F34" s="13"/>
      <c r="G34" s="13"/>
      <c r="H34" s="13"/>
      <c r="I34" s="13"/>
      <c r="J34" s="13"/>
      <c r="K34" s="13"/>
      <c r="M34" s="21"/>
      <c r="N34" s="21"/>
      <c r="O34" s="21"/>
      <c r="P34" s="21"/>
      <c r="Q34" s="21"/>
      <c r="R34" s="21"/>
      <c r="S34" s="21"/>
    </row>
    <row r="35" spans="6:19" x14ac:dyDescent="0.25">
      <c r="F35" s="13"/>
      <c r="G35" s="13"/>
      <c r="H35" s="13"/>
      <c r="I35" s="13"/>
      <c r="J35" s="13"/>
      <c r="K35" s="13"/>
      <c r="M35" s="21"/>
      <c r="N35" s="21"/>
      <c r="O35" s="21"/>
      <c r="P35" s="21"/>
      <c r="Q35" s="21"/>
      <c r="R35" s="21"/>
      <c r="S35" s="21"/>
    </row>
    <row r="36" spans="6:19" x14ac:dyDescent="0.25">
      <c r="F36" s="13"/>
      <c r="G36" s="13"/>
      <c r="H36" s="13"/>
      <c r="I36" s="13"/>
      <c r="J36" s="13"/>
      <c r="K36" s="13"/>
      <c r="M36" s="21"/>
      <c r="N36" s="21"/>
      <c r="O36" s="21"/>
      <c r="P36" s="21"/>
      <c r="Q36" s="21"/>
      <c r="R36" s="21"/>
      <c r="S36" s="21"/>
    </row>
    <row r="37" spans="6:19" x14ac:dyDescent="0.25">
      <c r="F37" s="13"/>
      <c r="G37" s="13"/>
      <c r="H37" s="13"/>
      <c r="I37" s="13"/>
      <c r="J37" s="13"/>
      <c r="K37" s="13"/>
      <c r="M37" s="21"/>
      <c r="N37" s="21"/>
      <c r="O37" s="21"/>
      <c r="P37" s="21"/>
      <c r="Q37" s="21"/>
      <c r="R37" s="21"/>
      <c r="S37" s="21"/>
    </row>
    <row r="38" spans="6:19" x14ac:dyDescent="0.25">
      <c r="F38" s="13"/>
      <c r="G38" s="13"/>
      <c r="H38" s="13"/>
      <c r="I38" s="13"/>
      <c r="J38" s="13"/>
      <c r="K38" s="13"/>
      <c r="M38" s="21"/>
      <c r="N38" s="21"/>
      <c r="O38" s="21"/>
      <c r="P38" s="21"/>
      <c r="Q38" s="21"/>
      <c r="R38" s="21"/>
      <c r="S38" s="21"/>
    </row>
    <row r="39" spans="6:19" x14ac:dyDescent="0.25">
      <c r="F39" s="13"/>
      <c r="G39" s="13"/>
      <c r="H39" s="13"/>
      <c r="I39" s="13"/>
      <c r="J39" s="13"/>
      <c r="K39" s="13"/>
    </row>
    <row r="40" spans="6:19" x14ac:dyDescent="0.25">
      <c r="F40" s="13"/>
      <c r="G40" s="13"/>
      <c r="H40" s="13"/>
      <c r="I40" s="13"/>
      <c r="J40" s="13"/>
      <c r="K40" s="13"/>
    </row>
    <row r="41" spans="6:19" x14ac:dyDescent="0.25">
      <c r="F41" s="13"/>
      <c r="G41" s="13"/>
      <c r="H41" s="13"/>
      <c r="I41" s="13"/>
      <c r="J41" s="13"/>
      <c r="K41" s="13"/>
    </row>
    <row r="42" spans="6:19" x14ac:dyDescent="0.25">
      <c r="F42" s="13"/>
      <c r="G42" s="13"/>
      <c r="H42" s="13"/>
      <c r="I42" s="13"/>
      <c r="J42" s="13"/>
      <c r="K42" s="13"/>
    </row>
    <row r="43" spans="6:19" x14ac:dyDescent="0.25">
      <c r="F43" s="13"/>
      <c r="G43" s="13"/>
      <c r="H43" s="13"/>
      <c r="I43" s="13"/>
      <c r="J43" s="13"/>
      <c r="K43" s="13"/>
    </row>
    <row r="44" spans="6:19" x14ac:dyDescent="0.25">
      <c r="F44" s="13"/>
      <c r="G44" s="13"/>
      <c r="H44" s="13"/>
      <c r="I44" s="13"/>
      <c r="J44" s="13"/>
      <c r="K44" s="13"/>
    </row>
    <row r="45" spans="6:19" x14ac:dyDescent="0.25">
      <c r="F45" s="13"/>
      <c r="G45" s="13"/>
      <c r="H45" s="13"/>
      <c r="I45" s="13"/>
      <c r="J45" s="13"/>
      <c r="K45" s="13"/>
    </row>
    <row r="46" spans="6:19" x14ac:dyDescent="0.25">
      <c r="F46" s="13"/>
      <c r="G46" s="13"/>
      <c r="H46" s="13"/>
      <c r="I46" s="13"/>
      <c r="J46" s="13"/>
      <c r="K46" s="13"/>
    </row>
    <row r="47" spans="6:19" x14ac:dyDescent="0.25">
      <c r="F47" s="13"/>
      <c r="G47" s="13"/>
      <c r="H47" s="13"/>
      <c r="I47" s="13"/>
      <c r="J47" s="13"/>
      <c r="K47" s="13"/>
    </row>
    <row r="50" spans="11:14" x14ac:dyDescent="0.25">
      <c r="M50" s="13"/>
      <c r="N50" s="13"/>
    </row>
    <row r="51" spans="11:14" x14ac:dyDescent="0.25">
      <c r="K51" s="59"/>
      <c r="L51" s="59"/>
      <c r="M51" s="59"/>
      <c r="N51" s="59"/>
    </row>
  </sheetData>
  <mergeCells count="33">
    <mergeCell ref="M2:U2"/>
    <mergeCell ref="M7:U7"/>
    <mergeCell ref="M13:U13"/>
    <mergeCell ref="G19:I19"/>
    <mergeCell ref="G20:I20"/>
    <mergeCell ref="G2:K2"/>
    <mergeCell ref="G24:I24"/>
    <mergeCell ref="K51:N51"/>
    <mergeCell ref="G14:I14"/>
    <mergeCell ref="G18:I18"/>
    <mergeCell ref="M18:U18"/>
    <mergeCell ref="G23:I23"/>
    <mergeCell ref="G31:K31"/>
    <mergeCell ref="G26:I26"/>
    <mergeCell ref="G27:I27"/>
    <mergeCell ref="G28:I28"/>
    <mergeCell ref="G29:I29"/>
    <mergeCell ref="G30:I30"/>
    <mergeCell ref="G32:I32"/>
    <mergeCell ref="G33:I33"/>
    <mergeCell ref="B19:D19"/>
    <mergeCell ref="G8:I8"/>
    <mergeCell ref="G9:I9"/>
    <mergeCell ref="G7:I7"/>
    <mergeCell ref="B2:D2"/>
    <mergeCell ref="B6:D6"/>
    <mergeCell ref="B13:D13"/>
    <mergeCell ref="B3:D3"/>
    <mergeCell ref="G12:I12"/>
    <mergeCell ref="G15:I15"/>
    <mergeCell ref="G16:I16"/>
    <mergeCell ref="G4:I5"/>
    <mergeCell ref="G11:I11"/>
  </mergeCells>
  <conditionalFormatting sqref="K4:K5 G11 G2 K11"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:K13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5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5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6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Monocoque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Marco.Cova</dc:creator>
  <cp:lastModifiedBy>Marco.Cova</cp:lastModifiedBy>
  <dcterms:created xsi:type="dcterms:W3CDTF">2020-07-23T10:36:31Z</dcterms:created>
  <dcterms:modified xsi:type="dcterms:W3CDTF">2020-12-09T11:58:51Z</dcterms:modified>
</cp:coreProperties>
</file>