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o.Paganini\Desktop\DataEngineering\MasterDegree_Thesis_Material\BSFC_Study\"/>
    </mc:Choice>
  </mc:AlternateContent>
  <xr:revisionPtr revIDLastSave="0" documentId="13_ncr:1_{B1807FDC-7357-46FC-9142-B61299C52DEA}" xr6:coauthVersionLast="47" xr6:coauthVersionMax="47" xr10:uidLastSave="{00000000-0000-0000-0000-000000000000}"/>
  <bookViews>
    <workbookView xWindow="-28920" yWindow="-120" windowWidth="29040" windowHeight="15840" tabRatio="746" activeTab="1" xr2:uid="{00000000-000D-0000-FFFF-FFFF00000000}"/>
  </bookViews>
  <sheets>
    <sheet name="Thesis_AdimensionalMaps" sheetId="7" r:id="rId1"/>
    <sheet name="Canopy_dmFuelMaps" sheetId="1" r:id="rId2"/>
    <sheet name="PreVSPost-Bancage" sheetId="2" r:id="rId3"/>
    <sheet name="WD_Maps and simulations(INTERP)" sheetId="3" r:id="rId4"/>
    <sheet name="FuelConsumption_VAL21T05" sheetId="4" r:id="rId5"/>
    <sheet name="20210513_PIPO_Engine5ADelive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3" l="1"/>
  <c r="C29" i="3"/>
  <c r="C30" i="3"/>
  <c r="D30" i="3"/>
  <c r="E30" i="3"/>
  <c r="F30" i="3"/>
  <c r="G30" i="3"/>
  <c r="I30" i="3"/>
  <c r="J30" i="3"/>
  <c r="K30" i="3"/>
  <c r="C31" i="3"/>
  <c r="D31" i="3"/>
  <c r="E31" i="3"/>
  <c r="F31" i="3"/>
  <c r="G31" i="3"/>
  <c r="H31" i="3"/>
  <c r="I31" i="3"/>
  <c r="J31" i="3"/>
  <c r="K31" i="3"/>
  <c r="D29" i="3"/>
  <c r="E29" i="3"/>
  <c r="F29" i="3"/>
  <c r="G29" i="3"/>
  <c r="H29" i="3"/>
  <c r="I29" i="3"/>
  <c r="J29" i="3"/>
  <c r="K29" i="3"/>
  <c r="C78" i="7"/>
  <c r="J64" i="7"/>
  <c r="I64" i="7"/>
  <c r="H64" i="7"/>
  <c r="G64" i="7"/>
  <c r="F64" i="7"/>
  <c r="E64" i="7"/>
  <c r="D64" i="7"/>
  <c r="C64" i="7"/>
  <c r="F78" i="7" l="1"/>
  <c r="E78" i="7"/>
  <c r="G78" i="7"/>
  <c r="D78" i="7"/>
  <c r="I78" i="7"/>
  <c r="J78" i="7"/>
  <c r="H78" i="7"/>
  <c r="C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C8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C27" i="7"/>
  <c r="C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" i="7"/>
  <c r="C22" i="7" s="1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C11" i="7"/>
  <c r="AI22" i="7"/>
  <c r="AI23" i="7" s="1"/>
  <c r="AH22" i="7"/>
  <c r="AH23" i="7" s="1"/>
  <c r="AG22" i="7"/>
  <c r="AG23" i="7" s="1"/>
  <c r="AF22" i="7"/>
  <c r="AF23" i="7" s="1"/>
  <c r="AE22" i="7"/>
  <c r="AE23" i="7" s="1"/>
  <c r="AD22" i="7"/>
  <c r="AD23" i="7" s="1"/>
  <c r="AC22" i="7"/>
  <c r="AB22" i="7"/>
  <c r="AA22" i="7"/>
  <c r="AA23" i="7" s="1"/>
  <c r="Z22" i="7"/>
  <c r="Z23" i="7" s="1"/>
  <c r="Y22" i="7"/>
  <c r="Y23" i="7" s="1"/>
  <c r="X22" i="7"/>
  <c r="W22" i="7"/>
  <c r="V22" i="7"/>
  <c r="V23" i="7" s="1"/>
  <c r="U22" i="7"/>
  <c r="U23" i="7" s="1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AI12" i="7"/>
  <c r="AI13" i="7" s="1"/>
  <c r="AH12" i="7"/>
  <c r="AG12" i="7"/>
  <c r="AG13" i="7" s="1"/>
  <c r="AF12" i="7"/>
  <c r="AF13" i="7" s="1"/>
  <c r="AE12" i="7"/>
  <c r="AE13" i="7" s="1"/>
  <c r="AD12" i="7"/>
  <c r="AD13" i="7" s="1"/>
  <c r="AC12" i="7"/>
  <c r="AC13" i="7" s="1"/>
  <c r="AB12" i="7"/>
  <c r="AA12" i="7"/>
  <c r="Z12" i="7"/>
  <c r="Y12" i="7"/>
  <c r="Y13" i="7" s="1"/>
  <c r="X12" i="7"/>
  <c r="X13" i="7" s="1"/>
  <c r="W12" i="7"/>
  <c r="W13" i="7" s="1"/>
  <c r="V12" i="7"/>
  <c r="V13" i="7" s="1"/>
  <c r="U12" i="7"/>
  <c r="U13" i="7" s="1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J83" i="6"/>
  <c r="AI83" i="6"/>
  <c r="AH83" i="6"/>
  <c r="AG83" i="6"/>
  <c r="AF83" i="6"/>
  <c r="AE83" i="6"/>
  <c r="AD83" i="6"/>
  <c r="AC83" i="6"/>
  <c r="AB83" i="6"/>
  <c r="AA83" i="6"/>
  <c r="AB82" i="6"/>
  <c r="AC82" i="6"/>
  <c r="AD82" i="6"/>
  <c r="AE82" i="6"/>
  <c r="AF82" i="6"/>
  <c r="AG82" i="6"/>
  <c r="AH82" i="6"/>
  <c r="AI82" i="6"/>
  <c r="AJ82" i="6"/>
  <c r="AA82" i="6"/>
  <c r="AB81" i="6"/>
  <c r="AC81" i="6"/>
  <c r="AD81" i="6"/>
  <c r="AE81" i="6"/>
  <c r="AF81" i="6"/>
  <c r="AG81" i="6"/>
  <c r="AH81" i="6"/>
  <c r="AI81" i="6"/>
  <c r="AJ81" i="6"/>
  <c r="AA81" i="6"/>
  <c r="AF16" i="1"/>
  <c r="AG16" i="1"/>
  <c r="AH16" i="1"/>
  <c r="AI16" i="1"/>
  <c r="AJ16" i="1"/>
  <c r="AK16" i="1"/>
  <c r="AL16" i="1"/>
  <c r="AE16" i="1"/>
  <c r="E72" i="1"/>
  <c r="J72" i="1" s="1"/>
  <c r="E71" i="1"/>
  <c r="J71" i="1" s="1"/>
  <c r="E70" i="1"/>
  <c r="J70" i="1" s="1"/>
  <c r="E69" i="1"/>
  <c r="J69" i="1" s="1"/>
  <c r="E68" i="1"/>
  <c r="J68" i="1" s="1"/>
  <c r="E67" i="1"/>
  <c r="J67" i="1" s="1"/>
  <c r="E66" i="1"/>
  <c r="J66" i="1" s="1"/>
  <c r="E65" i="1"/>
  <c r="J65" i="1" s="1"/>
  <c r="D72" i="1"/>
  <c r="I72" i="1" s="1"/>
  <c r="D71" i="1"/>
  <c r="I71" i="1" s="1"/>
  <c r="D70" i="1"/>
  <c r="I70" i="1" s="1"/>
  <c r="D69" i="1"/>
  <c r="I69" i="1" s="1"/>
  <c r="D68" i="1"/>
  <c r="I68" i="1" s="1"/>
  <c r="D67" i="1"/>
  <c r="I67" i="1" s="1"/>
  <c r="D66" i="1"/>
  <c r="I66" i="1" s="1"/>
  <c r="D65" i="1"/>
  <c r="I65" i="1" s="1"/>
  <c r="P29" i="1"/>
  <c r="C72" i="1" s="1"/>
  <c r="H72" i="1" s="1"/>
  <c r="P26" i="1"/>
  <c r="C71" i="1" s="1"/>
  <c r="H71" i="1" s="1"/>
  <c r="P23" i="1"/>
  <c r="C70" i="1" s="1"/>
  <c r="H70" i="1" s="1"/>
  <c r="P20" i="1"/>
  <c r="C69" i="1" s="1"/>
  <c r="H69" i="1" s="1"/>
  <c r="P17" i="1"/>
  <c r="C68" i="1" s="1"/>
  <c r="H68" i="1" s="1"/>
  <c r="P14" i="1"/>
  <c r="C67" i="1" s="1"/>
  <c r="H67" i="1" s="1"/>
  <c r="P11" i="1"/>
  <c r="C66" i="1" s="1"/>
  <c r="H66" i="1" s="1"/>
  <c r="P8" i="1"/>
  <c r="C65" i="1" s="1"/>
  <c r="H65" i="1" s="1"/>
  <c r="J40" i="1"/>
  <c r="I40" i="1"/>
  <c r="H40" i="1"/>
  <c r="G40" i="1"/>
  <c r="F40" i="1"/>
  <c r="E40" i="1"/>
  <c r="D40" i="1"/>
  <c r="C40" i="1"/>
  <c r="C39" i="1" s="1"/>
  <c r="H12" i="7" l="1"/>
  <c r="P12" i="7"/>
  <c r="J22" i="7"/>
  <c r="J12" i="7"/>
  <c r="I12" i="7"/>
  <c r="K22" i="7"/>
  <c r="E22" i="7"/>
  <c r="F22" i="7"/>
  <c r="AB23" i="7"/>
  <c r="Q22" i="7"/>
  <c r="AC23" i="7"/>
  <c r="X23" i="7"/>
  <c r="C12" i="7"/>
  <c r="S27" i="7"/>
  <c r="O12" i="7"/>
  <c r="AA13" i="7"/>
  <c r="G12" i="7"/>
  <c r="I22" i="7"/>
  <c r="Z13" i="7"/>
  <c r="AB13" i="7"/>
  <c r="K12" i="7"/>
  <c r="W23" i="7"/>
  <c r="M12" i="7"/>
  <c r="E12" i="7"/>
  <c r="F12" i="7"/>
  <c r="L12" i="7"/>
  <c r="D12" i="7"/>
  <c r="D22" i="7"/>
  <c r="L22" i="7"/>
  <c r="N12" i="7"/>
  <c r="M22" i="7"/>
  <c r="N22" i="7"/>
  <c r="AH13" i="7"/>
  <c r="Q12" i="7"/>
  <c r="G22" i="7"/>
  <c r="O22" i="7"/>
  <c r="H22" i="7"/>
  <c r="P22" i="7"/>
  <c r="F51" i="3"/>
  <c r="F50" i="3"/>
  <c r="F52" i="3"/>
  <c r="F53" i="3"/>
  <c r="F54" i="3"/>
  <c r="F55" i="3"/>
  <c r="F56" i="3"/>
  <c r="F49" i="3"/>
  <c r="G49" i="3" s="1"/>
  <c r="F48" i="3"/>
  <c r="G48" i="3" s="1"/>
  <c r="F47" i="3"/>
  <c r="F46" i="3"/>
  <c r="F45" i="3"/>
  <c r="F44" i="3"/>
  <c r="E48" i="3"/>
  <c r="E49" i="3"/>
  <c r="E50" i="3"/>
  <c r="E51" i="3"/>
  <c r="E52" i="3"/>
  <c r="E53" i="3"/>
  <c r="E54" i="3"/>
  <c r="E55" i="3"/>
  <c r="E56" i="3"/>
  <c r="E47" i="3"/>
  <c r="E46" i="3"/>
  <c r="G46" i="3" s="1"/>
  <c r="E45" i="3"/>
  <c r="E44" i="3"/>
  <c r="D45" i="3"/>
  <c r="D46" i="3"/>
  <c r="D47" i="3"/>
  <c r="D48" i="3"/>
  <c r="D49" i="3"/>
  <c r="D50" i="3"/>
  <c r="D51" i="3"/>
  <c r="D52" i="3"/>
  <c r="D53" i="3"/>
  <c r="D54" i="3"/>
  <c r="D55" i="3"/>
  <c r="D56" i="3"/>
  <c r="D44" i="3"/>
  <c r="K117" i="6"/>
  <c r="K118" i="6" s="1"/>
  <c r="J117" i="6"/>
  <c r="J118" i="6" s="1"/>
  <c r="I117" i="6"/>
  <c r="I118" i="6" s="1"/>
  <c r="H117" i="6"/>
  <c r="H118" i="6" s="1"/>
  <c r="G117" i="6"/>
  <c r="G118" i="6" s="1"/>
  <c r="F117" i="6"/>
  <c r="F118" i="6" s="1"/>
  <c r="E117" i="6"/>
  <c r="E118" i="6" s="1"/>
  <c r="D117" i="6"/>
  <c r="D118" i="6" s="1"/>
  <c r="K115" i="6"/>
  <c r="J115" i="6"/>
  <c r="I115" i="6"/>
  <c r="H115" i="6"/>
  <c r="G115" i="6"/>
  <c r="F115" i="6"/>
  <c r="E115" i="6"/>
  <c r="D115" i="6"/>
  <c r="K108" i="6"/>
  <c r="K109" i="6" s="1"/>
  <c r="J108" i="6"/>
  <c r="J109" i="6" s="1"/>
  <c r="I108" i="6"/>
  <c r="I109" i="6" s="1"/>
  <c r="H108" i="6"/>
  <c r="H109" i="6" s="1"/>
  <c r="G108" i="6"/>
  <c r="G109" i="6" s="1"/>
  <c r="F108" i="6"/>
  <c r="F109" i="6" s="1"/>
  <c r="E108" i="6"/>
  <c r="E109" i="6" s="1"/>
  <c r="D108" i="6"/>
  <c r="D109" i="6" s="1"/>
  <c r="K106" i="6"/>
  <c r="J106" i="6"/>
  <c r="I106" i="6"/>
  <c r="H106" i="6"/>
  <c r="G106" i="6"/>
  <c r="F106" i="6"/>
  <c r="E106" i="6"/>
  <c r="D106" i="6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G56" i="3" l="1"/>
  <c r="G51" i="3"/>
  <c r="G44" i="3"/>
  <c r="G54" i="3"/>
  <c r="G50" i="3"/>
  <c r="G53" i="3"/>
  <c r="G55" i="3"/>
  <c r="G45" i="3"/>
  <c r="G52" i="3"/>
  <c r="G47" i="3"/>
  <c r="D26" i="2"/>
  <c r="D27" i="2"/>
  <c r="D28" i="2"/>
  <c r="D29" i="2"/>
  <c r="D30" i="2"/>
  <c r="S18" i="2"/>
  <c r="R18" i="2"/>
  <c r="Q18" i="2"/>
  <c r="P18" i="2"/>
  <c r="O18" i="2"/>
  <c r="O19" i="2" s="1"/>
  <c r="N18" i="2"/>
  <c r="N19" i="2" s="1"/>
  <c r="M18" i="2"/>
  <c r="M19" i="2" s="1"/>
  <c r="L18" i="2"/>
  <c r="L19" i="2" s="1"/>
  <c r="K18" i="2"/>
  <c r="J18" i="2"/>
  <c r="I18" i="2"/>
  <c r="H18" i="2"/>
  <c r="G18" i="2"/>
  <c r="G19" i="2" s="1"/>
  <c r="F18" i="2"/>
  <c r="E18" i="2"/>
  <c r="E19" i="2" s="1"/>
  <c r="D18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F19" i="2"/>
  <c r="D19" i="2"/>
  <c r="S8" i="2"/>
  <c r="R8" i="2"/>
  <c r="Q8" i="2"/>
  <c r="Q9" i="2" s="1"/>
  <c r="P8" i="2"/>
  <c r="P9" i="2" s="1"/>
  <c r="O8" i="2"/>
  <c r="O9" i="2" s="1"/>
  <c r="N8" i="2"/>
  <c r="N9" i="2" s="1"/>
  <c r="M8" i="2"/>
  <c r="L8" i="2"/>
  <c r="K8" i="2"/>
  <c r="J8" i="2"/>
  <c r="I8" i="2"/>
  <c r="H8" i="2"/>
  <c r="H9" i="2" s="1"/>
  <c r="G8" i="2"/>
  <c r="G9" i="2" s="1"/>
  <c r="F8" i="2"/>
  <c r="F9" i="2" s="1"/>
  <c r="E8" i="2"/>
  <c r="D8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P52" i="1"/>
  <c r="M52" i="1"/>
  <c r="L52" i="1"/>
  <c r="H52" i="1"/>
  <c r="E52" i="1"/>
  <c r="D52" i="1"/>
  <c r="Q52" i="1"/>
  <c r="O52" i="1"/>
  <c r="N52" i="1"/>
  <c r="K52" i="1"/>
  <c r="J52" i="1"/>
  <c r="I52" i="1"/>
  <c r="G52" i="1"/>
  <c r="F52" i="1"/>
  <c r="C52" i="1"/>
  <c r="S19" i="2"/>
  <c r="R19" i="2"/>
  <c r="Q19" i="2"/>
  <c r="P19" i="2"/>
  <c r="K19" i="2"/>
  <c r="J19" i="2"/>
  <c r="I19" i="2"/>
  <c r="H19" i="2"/>
  <c r="S9" i="2"/>
  <c r="R9" i="2"/>
  <c r="M9" i="2"/>
  <c r="L9" i="2"/>
  <c r="K9" i="2"/>
  <c r="J9" i="2"/>
  <c r="I9" i="2"/>
  <c r="E9" i="2"/>
  <c r="D9" i="2"/>
  <c r="AG45" i="6"/>
  <c r="AG43" i="6"/>
  <c r="AL45" i="6"/>
  <c r="AL43" i="6"/>
  <c r="AL44" i="6" s="1"/>
  <c r="AA47" i="6"/>
  <c r="AB47" i="6"/>
  <c r="AC47" i="6"/>
  <c r="AD47" i="6"/>
  <c r="AA33" i="6"/>
  <c r="AB33" i="6"/>
  <c r="AC33" i="6"/>
  <c r="AD33" i="6"/>
  <c r="AA35" i="6"/>
  <c r="AA36" i="6" s="1"/>
  <c r="AB35" i="6"/>
  <c r="AB36" i="6" s="1"/>
  <c r="AC35" i="6"/>
  <c r="AC36" i="6" s="1"/>
  <c r="AD35" i="6"/>
  <c r="AD36" i="6" s="1"/>
  <c r="AS35" i="6"/>
  <c r="AS36" i="6" s="1"/>
  <c r="AR35" i="6"/>
  <c r="AR36" i="6" s="1"/>
  <c r="AQ35" i="6"/>
  <c r="AQ36" i="6" s="1"/>
  <c r="AP35" i="6"/>
  <c r="AP36" i="6" s="1"/>
  <c r="AO35" i="6"/>
  <c r="AO36" i="6" s="1"/>
  <c r="AN35" i="6"/>
  <c r="AN36" i="6" s="1"/>
  <c r="AM35" i="6"/>
  <c r="AM36" i="6" s="1"/>
  <c r="AL35" i="6"/>
  <c r="AL36" i="6" s="1"/>
  <c r="AK35" i="6"/>
  <c r="AK36" i="6" s="1"/>
  <c r="AJ35" i="6"/>
  <c r="AJ36" i="6" s="1"/>
  <c r="AI35" i="6"/>
  <c r="AI36" i="6" s="1"/>
  <c r="AH35" i="6"/>
  <c r="AH36" i="6" s="1"/>
  <c r="AG35" i="6"/>
  <c r="AG36" i="6" s="1"/>
  <c r="AF35" i="6"/>
  <c r="AF36" i="6" s="1"/>
  <c r="AE35" i="6"/>
  <c r="AE36" i="6" s="1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J68" i="6"/>
  <c r="AJ69" i="6" s="1"/>
  <c r="AI68" i="6"/>
  <c r="AI69" i="6" s="1"/>
  <c r="AH68" i="6"/>
  <c r="AH69" i="6" s="1"/>
  <c r="AG68" i="6"/>
  <c r="AG69" i="6" s="1"/>
  <c r="AF68" i="6"/>
  <c r="AF69" i="6" s="1"/>
  <c r="AE68" i="6"/>
  <c r="AE69" i="6" s="1"/>
  <c r="AD68" i="6"/>
  <c r="AD69" i="6" s="1"/>
  <c r="AC68" i="6"/>
  <c r="AC69" i="6" s="1"/>
  <c r="AB68" i="6"/>
  <c r="AB69" i="6" s="1"/>
  <c r="AA68" i="6"/>
  <c r="AA69" i="6" s="1"/>
  <c r="AJ66" i="6"/>
  <c r="AI66" i="6"/>
  <c r="AH66" i="6"/>
  <c r="AG66" i="6"/>
  <c r="AF66" i="6"/>
  <c r="AE66" i="6"/>
  <c r="AD66" i="6"/>
  <c r="AC66" i="6"/>
  <c r="AB66" i="6"/>
  <c r="AA66" i="6"/>
  <c r="AJ57" i="6"/>
  <c r="AJ58" i="6" s="1"/>
  <c r="AI57" i="6"/>
  <c r="AI58" i="6" s="1"/>
  <c r="AH57" i="6"/>
  <c r="AH58" i="6" s="1"/>
  <c r="AG57" i="6"/>
  <c r="AG58" i="6" s="1"/>
  <c r="AF57" i="6"/>
  <c r="AF58" i="6" s="1"/>
  <c r="AE57" i="6"/>
  <c r="AE58" i="6" s="1"/>
  <c r="AD57" i="6"/>
  <c r="AD58" i="6" s="1"/>
  <c r="AC57" i="6"/>
  <c r="AC58" i="6" s="1"/>
  <c r="AB57" i="6"/>
  <c r="AB58" i="6" s="1"/>
  <c r="AA57" i="6"/>
  <c r="AA58" i="6" s="1"/>
  <c r="AJ55" i="6"/>
  <c r="AI55" i="6"/>
  <c r="AH55" i="6"/>
  <c r="AG55" i="6"/>
  <c r="AF55" i="6"/>
  <c r="AE55" i="6"/>
  <c r="AD55" i="6"/>
  <c r="AC55" i="6"/>
  <c r="AB55" i="6"/>
  <c r="AA55" i="6"/>
  <c r="AK44" i="6"/>
  <c r="AM44" i="6"/>
  <c r="AN44" i="6"/>
  <c r="AO44" i="6"/>
  <c r="AP44" i="6"/>
  <c r="AQ44" i="6"/>
  <c r="AR44" i="6"/>
  <c r="AS44" i="6"/>
  <c r="AK46" i="6"/>
  <c r="AK47" i="6" s="1"/>
  <c r="AL46" i="6"/>
  <c r="AM46" i="6"/>
  <c r="AM47" i="6" s="1"/>
  <c r="AN46" i="6"/>
  <c r="AN47" i="6" s="1"/>
  <c r="AO46" i="6"/>
  <c r="AO47" i="6" s="1"/>
  <c r="AP46" i="6"/>
  <c r="AQ46" i="6"/>
  <c r="AQ47" i="6" s="1"/>
  <c r="AR46" i="6"/>
  <c r="AR47" i="6" s="1"/>
  <c r="AS46" i="6"/>
  <c r="AS47" i="6" s="1"/>
  <c r="AP47" i="6"/>
  <c r="AJ23" i="6"/>
  <c r="AJ24" i="6" s="1"/>
  <c r="AI23" i="6"/>
  <c r="AI24" i="6" s="1"/>
  <c r="AH23" i="6"/>
  <c r="AH24" i="6" s="1"/>
  <c r="AG23" i="6"/>
  <c r="AG24" i="6" s="1"/>
  <c r="AF23" i="6"/>
  <c r="AF24" i="6" s="1"/>
  <c r="AE23" i="6"/>
  <c r="AE24" i="6" s="1"/>
  <c r="AD23" i="6"/>
  <c r="AD24" i="6" s="1"/>
  <c r="AC23" i="6"/>
  <c r="AC24" i="6" s="1"/>
  <c r="AB23" i="6"/>
  <c r="AB24" i="6" s="1"/>
  <c r="AA23" i="6"/>
  <c r="AA24" i="6" s="1"/>
  <c r="AJ21" i="6"/>
  <c r="AL9" i="1" s="1"/>
  <c r="AL15" i="1" s="1"/>
  <c r="AI21" i="6"/>
  <c r="AK9" i="1" s="1"/>
  <c r="AK15" i="1" s="1"/>
  <c r="AH21" i="6"/>
  <c r="AJ9" i="1" s="1"/>
  <c r="AJ15" i="1" s="1"/>
  <c r="AG21" i="6"/>
  <c r="AI9" i="1" s="1"/>
  <c r="AI15" i="1" s="1"/>
  <c r="AF21" i="6"/>
  <c r="AH9" i="1" s="1"/>
  <c r="AH15" i="1" s="1"/>
  <c r="AE21" i="6"/>
  <c r="AG9" i="1" s="1"/>
  <c r="AG15" i="1" s="1"/>
  <c r="AD21" i="6"/>
  <c r="AF9" i="1" s="1"/>
  <c r="AF15" i="1" s="1"/>
  <c r="AC21" i="6"/>
  <c r="AE9" i="1" s="1"/>
  <c r="AE15" i="1" s="1"/>
  <c r="AB21" i="6"/>
  <c r="AA21" i="6"/>
  <c r="AA10" i="6"/>
  <c r="AB10" i="6"/>
  <c r="AA12" i="6"/>
  <c r="AA13" i="6" s="1"/>
  <c r="AB12" i="6"/>
  <c r="AB13" i="6" s="1"/>
  <c r="AL47" i="6" l="1"/>
  <c r="V35" i="6"/>
  <c r="V36" i="6" s="1"/>
  <c r="U35" i="6"/>
  <c r="U36" i="6" s="1"/>
  <c r="T35" i="6"/>
  <c r="T36" i="6" s="1"/>
  <c r="S35" i="6"/>
  <c r="S36" i="6" s="1"/>
  <c r="R35" i="6"/>
  <c r="R36" i="6" s="1"/>
  <c r="Q35" i="6"/>
  <c r="Q36" i="6" s="1"/>
  <c r="P35" i="6"/>
  <c r="P36" i="6" s="1"/>
  <c r="O35" i="6"/>
  <c r="O36" i="6" s="1"/>
  <c r="N35" i="6"/>
  <c r="N36" i="6" s="1"/>
  <c r="M35" i="6"/>
  <c r="M36" i="6" s="1"/>
  <c r="L35" i="6"/>
  <c r="L36" i="6" s="1"/>
  <c r="K35" i="6"/>
  <c r="K36" i="6" s="1"/>
  <c r="J35" i="6"/>
  <c r="J36" i="6" s="1"/>
  <c r="I35" i="6"/>
  <c r="I36" i="6" s="1"/>
  <c r="H35" i="6"/>
  <c r="H36" i="6" s="1"/>
  <c r="G35" i="6"/>
  <c r="G36" i="6" s="1"/>
  <c r="F36" i="6"/>
  <c r="E36" i="6"/>
  <c r="D36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J46" i="6"/>
  <c r="AJ47" i="6" s="1"/>
  <c r="AI46" i="6"/>
  <c r="AI47" i="6" s="1"/>
  <c r="AH46" i="6"/>
  <c r="AH47" i="6" s="1"/>
  <c r="AG46" i="6"/>
  <c r="AG47" i="6" s="1"/>
  <c r="AF46" i="6"/>
  <c r="AF47" i="6" s="1"/>
  <c r="AE46" i="6"/>
  <c r="AE47" i="6" s="1"/>
  <c r="AJ44" i="6"/>
  <c r="AI44" i="6"/>
  <c r="AH44" i="6"/>
  <c r="AG44" i="6"/>
  <c r="AF44" i="6"/>
  <c r="AE44" i="6"/>
  <c r="K52" i="4"/>
  <c r="J52" i="4"/>
  <c r="K50" i="4"/>
  <c r="K49" i="4"/>
  <c r="J50" i="4"/>
  <c r="J49" i="4"/>
  <c r="H60" i="3"/>
  <c r="E59" i="3"/>
  <c r="F59" i="3"/>
  <c r="D59" i="3"/>
  <c r="H23" i="6"/>
  <c r="H24" i="6" s="1"/>
  <c r="G23" i="6"/>
  <c r="G24" i="6" s="1"/>
  <c r="F24" i="6"/>
  <c r="E24" i="6"/>
  <c r="D24" i="6"/>
  <c r="H21" i="6"/>
  <c r="G21" i="6"/>
  <c r="F50" i="4"/>
  <c r="F49" i="4"/>
  <c r="G13" i="6" l="1"/>
  <c r="F13" i="6"/>
  <c r="E13" i="6"/>
  <c r="D13" i="6"/>
  <c r="AC12" i="6"/>
  <c r="V23" i="6" l="1"/>
  <c r="V24" i="6" s="1"/>
  <c r="U23" i="6"/>
  <c r="U24" i="6" s="1"/>
  <c r="T23" i="6"/>
  <c r="T24" i="6" s="1"/>
  <c r="S23" i="6"/>
  <c r="S24" i="6" s="1"/>
  <c r="R23" i="6"/>
  <c r="R24" i="6" s="1"/>
  <c r="Q23" i="6"/>
  <c r="Q24" i="6" s="1"/>
  <c r="P23" i="6"/>
  <c r="P24" i="6" s="1"/>
  <c r="O23" i="6"/>
  <c r="O24" i="6" s="1"/>
  <c r="N23" i="6"/>
  <c r="N24" i="6" s="1"/>
  <c r="M23" i="6"/>
  <c r="M24" i="6" s="1"/>
  <c r="L23" i="6"/>
  <c r="L24" i="6" s="1"/>
  <c r="K23" i="6"/>
  <c r="K24" i="6" s="1"/>
  <c r="J23" i="6"/>
  <c r="J24" i="6" s="1"/>
  <c r="I23" i="6"/>
  <c r="I24" i="6" s="1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AJ12" i="6"/>
  <c r="AJ13" i="6" s="1"/>
  <c r="AI12" i="6"/>
  <c r="AI13" i="6" s="1"/>
  <c r="AH12" i="6"/>
  <c r="AH13" i="6" s="1"/>
  <c r="AG12" i="6"/>
  <c r="AG13" i="6" s="1"/>
  <c r="AF12" i="6"/>
  <c r="AF13" i="6" s="1"/>
  <c r="AE12" i="6"/>
  <c r="AE13" i="6" s="1"/>
  <c r="AD12" i="6"/>
  <c r="AD13" i="6" s="1"/>
  <c r="AC13" i="6"/>
  <c r="AJ10" i="6"/>
  <c r="AL8" i="1" s="1"/>
  <c r="AL14" i="1" s="1"/>
  <c r="AI10" i="6"/>
  <c r="AK8" i="1" s="1"/>
  <c r="AK14" i="1" s="1"/>
  <c r="AH10" i="6"/>
  <c r="AJ8" i="1" s="1"/>
  <c r="AJ14" i="1" s="1"/>
  <c r="AG10" i="6"/>
  <c r="AI8" i="1" s="1"/>
  <c r="AI14" i="1" s="1"/>
  <c r="AF10" i="6"/>
  <c r="AH8" i="1" s="1"/>
  <c r="AH14" i="1" s="1"/>
  <c r="AE10" i="6"/>
  <c r="AG8" i="1" s="1"/>
  <c r="AG14" i="1" s="1"/>
  <c r="AD10" i="6"/>
  <c r="AF8" i="1" s="1"/>
  <c r="AF14" i="1" s="1"/>
  <c r="AC10" i="6"/>
  <c r="AE8" i="1" s="1"/>
  <c r="AE14" i="1" s="1"/>
  <c r="V12" i="6"/>
  <c r="T12" i="6"/>
  <c r="R12" i="6"/>
  <c r="P12" i="6"/>
  <c r="N12" i="6"/>
  <c r="L12" i="6"/>
  <c r="J12" i="6"/>
  <c r="H12" i="6"/>
  <c r="V10" i="6"/>
  <c r="T10" i="6"/>
  <c r="R10" i="6"/>
  <c r="P10" i="6"/>
  <c r="N10" i="6"/>
  <c r="L10" i="6"/>
  <c r="J10" i="6"/>
  <c r="H10" i="6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P13" i="6" l="1"/>
  <c r="O13" i="6"/>
  <c r="H13" i="6"/>
  <c r="I13" i="6"/>
  <c r="J13" i="6"/>
  <c r="K13" i="6"/>
  <c r="S13" i="6"/>
  <c r="L13" i="6"/>
  <c r="R13" i="6"/>
  <c r="T13" i="6"/>
  <c r="M13" i="6"/>
  <c r="U13" i="6"/>
  <c r="Q13" i="6"/>
  <c r="N13" i="6"/>
  <c r="V13" i="6"/>
  <c r="G50" i="4"/>
  <c r="I50" i="4" s="1"/>
  <c r="E50" i="4"/>
  <c r="H50" i="4" s="1"/>
  <c r="G49" i="4"/>
  <c r="I49" i="4" s="1"/>
  <c r="E49" i="4"/>
  <c r="H49" i="4" s="1"/>
  <c r="E46" i="4"/>
  <c r="J46" i="4" s="1"/>
  <c r="E45" i="4"/>
  <c r="J45" i="4" s="1"/>
  <c r="E43" i="4"/>
  <c r="J43" i="4" s="1"/>
  <c r="E42" i="4"/>
  <c r="J42" i="4" s="1"/>
  <c r="E41" i="4"/>
  <c r="J41" i="4" s="1"/>
  <c r="E40" i="4"/>
  <c r="J40" i="4" s="1"/>
  <c r="E38" i="4"/>
  <c r="E37" i="4"/>
  <c r="E36" i="4"/>
  <c r="E31" i="4"/>
  <c r="E23" i="4" s="1"/>
  <c r="E30" i="4"/>
  <c r="M22" i="4"/>
  <c r="K22" i="4"/>
  <c r="E22" i="4"/>
  <c r="D22" i="4"/>
  <c r="D23" i="4" s="1"/>
  <c r="M21" i="4"/>
  <c r="K21" i="4"/>
  <c r="F36" i="4" s="1"/>
  <c r="I21" i="4"/>
  <c r="H21" i="4"/>
  <c r="G21" i="4"/>
  <c r="F21" i="4"/>
  <c r="E21" i="4"/>
  <c r="D21" i="4"/>
  <c r="C21" i="4"/>
  <c r="B21" i="4"/>
  <c r="N15" i="4"/>
  <c r="L15" i="4"/>
  <c r="P15" i="4" s="1"/>
  <c r="J15" i="4"/>
  <c r="N14" i="4"/>
  <c r="L14" i="4"/>
  <c r="P14" i="4" s="1"/>
  <c r="J14" i="4"/>
  <c r="P13" i="4"/>
  <c r="N13" i="4"/>
  <c r="L13" i="4"/>
  <c r="O13" i="4" s="1"/>
  <c r="J13" i="4"/>
  <c r="N12" i="4"/>
  <c r="L12" i="4"/>
  <c r="P12" i="4" s="1"/>
  <c r="J12" i="4"/>
  <c r="P11" i="4"/>
  <c r="N11" i="4"/>
  <c r="L11" i="4"/>
  <c r="O11" i="4" s="1"/>
  <c r="J11" i="4"/>
  <c r="N10" i="4"/>
  <c r="L10" i="4"/>
  <c r="P10" i="4" s="1"/>
  <c r="J10" i="4"/>
  <c r="N9" i="4"/>
  <c r="L9" i="4"/>
  <c r="P9" i="4" s="1"/>
  <c r="J9" i="4"/>
  <c r="N8" i="4"/>
  <c r="L8" i="4"/>
  <c r="P8" i="4" s="1"/>
  <c r="J8" i="4"/>
  <c r="N7" i="4"/>
  <c r="L7" i="4"/>
  <c r="O7" i="4" s="1"/>
  <c r="J7" i="4"/>
  <c r="O6" i="4"/>
  <c r="N6" i="4"/>
  <c r="L6" i="4"/>
  <c r="P6" i="4" s="1"/>
  <c r="J6" i="4"/>
  <c r="P5" i="4"/>
  <c r="O5" i="4"/>
  <c r="N5" i="4"/>
  <c r="L5" i="4"/>
  <c r="J5" i="4"/>
  <c r="N4" i="4"/>
  <c r="L4" i="4"/>
  <c r="P4" i="4" s="1"/>
  <c r="J4" i="4"/>
  <c r="N3" i="4"/>
  <c r="L3" i="4"/>
  <c r="O3" i="4" s="1"/>
  <c r="J3" i="4"/>
  <c r="F37" i="4" l="1"/>
  <c r="N21" i="4"/>
  <c r="M25" i="4" s="1"/>
  <c r="P3" i="4"/>
  <c r="O14" i="4"/>
  <c r="K23" i="4"/>
  <c r="O8" i="4"/>
  <c r="M23" i="4"/>
  <c r="J21" i="4"/>
  <c r="O10" i="4"/>
  <c r="O15" i="4"/>
  <c r="K27" i="4"/>
  <c r="L21" i="4"/>
  <c r="O4" i="4"/>
  <c r="P7" i="4"/>
  <c r="P17" i="4" s="1"/>
  <c r="O12" i="4"/>
  <c r="O9" i="4"/>
  <c r="O21" i="4" s="1"/>
  <c r="L22" i="4"/>
  <c r="L23" i="4" s="1"/>
  <c r="O17" i="4" l="1"/>
  <c r="P21" i="4"/>
  <c r="L25" i="4" s="1"/>
  <c r="D25" i="4" s="1"/>
  <c r="E25" i="4" s="1"/>
  <c r="G37" i="4"/>
  <c r="G36" i="4"/>
  <c r="G41" i="4"/>
  <c r="H41" i="4" s="1"/>
  <c r="G40" i="4"/>
  <c r="H40" i="4" s="1"/>
  <c r="I36" i="4" l="1"/>
  <c r="H36" i="4"/>
  <c r="H37" i="4"/>
  <c r="I37" i="4"/>
  <c r="I60" i="3" l="1"/>
  <c r="J61" i="1" l="1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R30" i="2"/>
  <c r="E28" i="2"/>
  <c r="E26" i="2"/>
  <c r="J30" i="2"/>
  <c r="F30" i="2"/>
  <c r="E30" i="2"/>
  <c r="M27" i="2"/>
  <c r="AN40" i="1"/>
  <c r="AM40" i="1"/>
  <c r="AL40" i="1"/>
  <c r="AK40" i="1"/>
  <c r="AJ40" i="1"/>
  <c r="AJ44" i="1" s="1"/>
  <c r="AI40" i="1"/>
  <c r="AH40" i="1"/>
  <c r="AG40" i="1"/>
  <c r="AG44" i="1" s="1"/>
  <c r="AF40" i="1"/>
  <c r="AE40" i="1"/>
  <c r="AD40" i="1"/>
  <c r="AC40" i="1"/>
  <c r="AB40" i="1"/>
  <c r="AB44" i="1" s="1"/>
  <c r="AA40" i="1"/>
  <c r="AA44" i="1" s="1"/>
  <c r="Z40" i="1"/>
  <c r="C43" i="1"/>
  <c r="Q30" i="2" l="1"/>
  <c r="AE44" i="1"/>
  <c r="Z44" i="1"/>
  <c r="AF44" i="1"/>
  <c r="AM44" i="1"/>
  <c r="AI44" i="1"/>
  <c r="AL44" i="1"/>
  <c r="AD44" i="1"/>
  <c r="AK44" i="1"/>
  <c r="AC44" i="1"/>
  <c r="AH44" i="1"/>
  <c r="AN44" i="1"/>
  <c r="H30" i="2"/>
  <c r="I30" i="2"/>
  <c r="O27" i="2"/>
  <c r="H27" i="2"/>
  <c r="P27" i="2"/>
  <c r="I27" i="2"/>
  <c r="Q27" i="2"/>
  <c r="Q29" i="2"/>
  <c r="R27" i="2"/>
  <c r="K27" i="2"/>
  <c r="S27" i="2"/>
  <c r="L30" i="2"/>
  <c r="P29" i="2"/>
  <c r="S30" i="2"/>
  <c r="L27" i="2"/>
  <c r="E29" i="2"/>
  <c r="M30" i="2"/>
  <c r="I29" i="2"/>
  <c r="P30" i="2"/>
  <c r="K30" i="2"/>
  <c r="E27" i="2"/>
  <c r="F29" i="2"/>
  <c r="N30" i="2"/>
  <c r="U26" i="2"/>
  <c r="H29" i="2"/>
  <c r="G27" i="2"/>
  <c r="J27" i="2"/>
  <c r="F27" i="2"/>
  <c r="N27" i="2"/>
  <c r="G30" i="2"/>
  <c r="O30" i="2"/>
  <c r="U28" i="2"/>
  <c r="O29" i="2"/>
  <c r="G29" i="2"/>
  <c r="N29" i="2"/>
  <c r="M29" i="2"/>
  <c r="L29" i="2"/>
  <c r="S29" i="2"/>
  <c r="K29" i="2"/>
  <c r="R29" i="2"/>
  <c r="J29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AP44" i="1" l="1"/>
  <c r="U27" i="2"/>
  <c r="U30" i="2"/>
  <c r="U29" i="2"/>
  <c r="C57" i="1"/>
  <c r="H57" i="1"/>
  <c r="H60" i="1"/>
  <c r="H59" i="1"/>
  <c r="D57" i="1"/>
  <c r="D60" i="1"/>
  <c r="D59" i="1"/>
  <c r="G60" i="1"/>
  <c r="G59" i="1"/>
  <c r="G57" i="1"/>
  <c r="C60" i="1"/>
  <c r="C59" i="1"/>
  <c r="I60" i="1"/>
  <c r="I59" i="1"/>
  <c r="I57" i="1"/>
  <c r="E60" i="1"/>
  <c r="E59" i="1"/>
  <c r="E57" i="1"/>
  <c r="E61" i="1" s="1"/>
  <c r="F60" i="1"/>
  <c r="F59" i="1"/>
  <c r="F57" i="1"/>
  <c r="J58" i="1"/>
  <c r="I39" i="1"/>
  <c r="I43" i="1" s="1"/>
  <c r="H39" i="1"/>
  <c r="H43" i="1" s="1"/>
  <c r="G39" i="1"/>
  <c r="G43" i="1" s="1"/>
  <c r="F39" i="1"/>
  <c r="F43" i="1" s="1"/>
  <c r="E39" i="1"/>
  <c r="E43" i="1" s="1"/>
  <c r="D39" i="1"/>
  <c r="D43" i="1" s="1"/>
  <c r="J39" i="1"/>
  <c r="J43" i="1" s="1"/>
  <c r="I58" i="1" l="1"/>
  <c r="I61" i="1"/>
  <c r="F58" i="1"/>
  <c r="F61" i="1"/>
  <c r="D58" i="1"/>
  <c r="D61" i="1"/>
  <c r="G58" i="1"/>
  <c r="G61" i="1"/>
  <c r="H58" i="1"/>
  <c r="H61" i="1"/>
  <c r="C58" i="1"/>
  <c r="C61" i="1"/>
  <c r="E58" i="1"/>
</calcChain>
</file>

<file path=xl/sharedStrings.xml><?xml version="1.0" encoding="utf-8"?>
<sst xmlns="http://schemas.openxmlformats.org/spreadsheetml/2006/main" count="472" uniqueCount="175">
  <si>
    <t>Canopy dmFuelMapData (pre VAL21T05)</t>
  </si>
  <si>
    <t>RPM</t>
  </si>
  <si>
    <t>dm_Fuel [kg/s]</t>
  </si>
  <si>
    <r>
      <t>Canopy dmFuelMapData (</t>
    </r>
    <r>
      <rPr>
        <b/>
        <u/>
        <sz val="11"/>
        <color rgb="FFFF0000"/>
        <rFont val="Calibri"/>
        <family val="2"/>
        <scheme val="minor"/>
      </rPr>
      <t>on data of VAL21T05</t>
    </r>
    <r>
      <rPr>
        <b/>
        <sz val="11"/>
        <color theme="1"/>
        <rFont val="Calibri"/>
        <family val="2"/>
        <scheme val="minor"/>
      </rPr>
      <t>)</t>
    </r>
  </si>
  <si>
    <t>mfuel [kg/h]</t>
  </si>
  <si>
    <t>mfuel [kg/s]</t>
  </si>
  <si>
    <t>FULL LOAD</t>
  </si>
  <si>
    <t>EngineTorque [Nm]</t>
  </si>
  <si>
    <t>Engine Power [kW]</t>
  </si>
  <si>
    <t>bSFC [g/kWh]</t>
  </si>
  <si>
    <t>VAL21T05 Engine Map (Matlab script)</t>
  </si>
  <si>
    <t>RELEASE</t>
  </si>
  <si>
    <t>21VALT05 (FROM DYNO DATA)</t>
  </si>
  <si>
    <t>21VALT05 (FROM TRACK DATA)</t>
  </si>
  <si>
    <t>(ANTILAG Contribution to fuel consumption)</t>
  </si>
  <si>
    <t>rad/s</t>
  </si>
  <si>
    <t>EnginePower [kW]</t>
  </si>
  <si>
    <t>BEFORE BANCAGE</t>
  </si>
  <si>
    <t>TORQUE DYNO [Nm]</t>
  </si>
  <si>
    <t>POWER DYNO [kW]</t>
  </si>
  <si>
    <t>R048-Map improved after knock control</t>
  </si>
  <si>
    <t>BSFC DYNO [g/kWh]</t>
  </si>
  <si>
    <t>bSFC Improvement %</t>
  </si>
  <si>
    <t>PRE</t>
  </si>
  <si>
    <t>POST</t>
  </si>
  <si>
    <t>Deltas --&gt; (New-Old)/Old [%]</t>
  </si>
  <si>
    <t>AVG</t>
  </si>
  <si>
    <t>WinDarab</t>
  </si>
  <si>
    <t>aps/RPM</t>
  </si>
  <si>
    <t>LUT_fuelflow_V15</t>
  </si>
  <si>
    <t>LUT_fuelflow_VAL21T05</t>
  </si>
  <si>
    <t>LUT_fuelflow_V16</t>
  </si>
  <si>
    <t>(Post-Knock)</t>
  </si>
  <si>
    <t>20210428_16-49-37_VAL_PT5_FP4_007008_020_01-24-79</t>
  </si>
  <si>
    <t>Lap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</si>
  <si>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</si>
  <si>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</si>
  <si>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</si>
  <si>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</si>
  <si>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</si>
  <si>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</si>
  <si>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</si>
  <si>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</si>
  <si>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</si>
  <si>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</si>
  <si>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</si>
  <si>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</si>
  <si>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</si>
  <si>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Max ffm_fuel_lap [L]</t>
  </si>
  <si>
    <r>
      <t xml:space="preserve">Fuelcons_V16   </t>
    </r>
    <r>
      <rPr>
        <b/>
        <sz val="11"/>
        <color rgb="FF000000"/>
        <rFont val="Calibri"/>
        <family val="2"/>
        <scheme val="minor"/>
      </rPr>
      <t>(Post-Knock)</t>
    </r>
  </si>
  <si>
    <r>
      <t xml:space="preserve">Fuelcons_ </t>
    </r>
    <r>
      <rPr>
        <b/>
        <sz val="11"/>
        <color rgb="FF000000"/>
        <rFont val="Calibri"/>
        <family val="2"/>
        <scheme val="minor"/>
      </rPr>
      <t>VAL21T05</t>
    </r>
  </si>
  <si>
    <t>Canopy (DynoMapVAL21T05)</t>
  </si>
  <si>
    <t>Canopy (engineMapFROMTrack)</t>
  </si>
  <si>
    <t>Average</t>
  </si>
  <si>
    <t>LUT_fuelflow_VAL21T05_FromTrack</t>
  </si>
  <si>
    <r>
      <t xml:space="preserve">Fuelcons_  </t>
    </r>
    <r>
      <rPr>
        <b/>
        <sz val="11"/>
        <color rgb="FF000000"/>
        <rFont val="Calibri"/>
        <family val="2"/>
        <scheme val="minor"/>
      </rPr>
      <t>VAL21T05_FromTrack</t>
    </r>
  </si>
  <si>
    <t>Matlab Script</t>
  </si>
  <si>
    <t>Evaluate</t>
  </si>
  <si>
    <t>Laptime</t>
  </si>
  <si>
    <t>Max fuelcons_lap [L]</t>
  </si>
  <si>
    <r>
      <t>Fuelcons_</t>
    </r>
    <r>
      <rPr>
        <b/>
        <sz val="11"/>
        <color rgb="FF000000"/>
        <rFont val="Calibri"/>
        <family val="2"/>
        <scheme val="minor"/>
      </rPr>
      <t>VAL21T05_FromTrack</t>
    </r>
  </si>
  <si>
    <r>
      <t xml:space="preserve">Fuelcons_ </t>
    </r>
    <r>
      <rPr>
        <b/>
        <sz val="11"/>
        <color rgb="FF000000"/>
        <rFont val="Calibri"/>
        <family val="2"/>
        <scheme val="minor"/>
      </rPr>
      <t>V15</t>
    </r>
  </si>
  <si>
    <t>ECU correction factor</t>
  </si>
  <si>
    <t>Max bop_lap_energy_meas  [MJ]</t>
  </si>
  <si>
    <t>Max ffm_fuel_lap_kg</t>
  </si>
  <si>
    <t>Max engine_energy_intg [MJ]</t>
  </si>
  <si>
    <t>Transmission efficiency</t>
  </si>
  <si>
    <t>Average engine bSFC [g/kWh]</t>
  </si>
  <si>
    <t>Average bSFC at driveshafts [g/kWh]</t>
  </si>
  <si>
    <t>y</t>
  </si>
  <si>
    <t>Estimated fuel density [kg/L]</t>
  </si>
  <si>
    <t>AVERAGE</t>
  </si>
  <si>
    <t>SUM</t>
  </si>
  <si>
    <t>Estimated  for a LeMans Stint (done upon  distance)</t>
  </si>
  <si>
    <t>Estimated  for a LeMans Stint Fixing Energy</t>
  </si>
  <si>
    <t>From Canopy:</t>
  </si>
  <si>
    <t>10  laps at  VAL [km]</t>
  </si>
  <si>
    <t>Le Mans  stint-&gt;12.3laps [km]</t>
  </si>
  <si>
    <t>Simulation Results</t>
  </si>
  <si>
    <t>Delta respect to average measured [%]</t>
  </si>
  <si>
    <t>Fuel Consumption per lap [kg]</t>
  </si>
  <si>
    <t>Fuel Consumption per lap [L]</t>
  </si>
  <si>
    <t>Delta respect to measured [%]</t>
  </si>
  <si>
    <t>12.3 Le Mans Stint Energy [MJ]</t>
  </si>
  <si>
    <t>Vallelunga</t>
  </si>
  <si>
    <t>Vallelunga 520kW BoP -0.06Cd</t>
  </si>
  <si>
    <t>Vallelunga 520kW BoP_BaselineDRAG (WT04)</t>
  </si>
  <si>
    <t>Vallelunga_2WD_FIA_model</t>
  </si>
  <si>
    <t>No Data</t>
  </si>
  <si>
    <t>?</t>
  </si>
  <si>
    <t>Le Mans</t>
  </si>
  <si>
    <t>Le Mans 520kW BoP -0.06 Cd</t>
  </si>
  <si>
    <t>Le Mans 520kW BoP_BaselineDRAG (WT04)</t>
  </si>
  <si>
    <t>03:27:.20</t>
  </si>
  <si>
    <r>
      <t>Le Mans 520kW BoP -0.06 Cd_</t>
    </r>
    <r>
      <rPr>
        <b/>
        <sz val="11"/>
        <color theme="1"/>
        <rFont val="Calibri"/>
        <family val="2"/>
        <scheme val="minor"/>
      </rPr>
      <t>RaciLine</t>
    </r>
  </si>
  <si>
    <r>
      <t>Le Mans 520kW BoP_BaselineDRAG (WT04)_</t>
    </r>
    <r>
      <rPr>
        <b/>
        <sz val="11"/>
        <color theme="1"/>
        <rFont val="Calibri"/>
        <family val="2"/>
        <scheme val="minor"/>
      </rPr>
      <t>RaciLine</t>
    </r>
  </si>
  <si>
    <r>
      <t xml:space="preserve">(Le Mans </t>
    </r>
    <r>
      <rPr>
        <b/>
        <sz val="11"/>
        <color theme="1"/>
        <rFont val="Calibri"/>
        <family val="2"/>
        <scheme val="minor"/>
      </rPr>
      <t xml:space="preserve">Sensitivity --&gt; </t>
    </r>
    <r>
      <rPr>
        <sz val="11"/>
        <color theme="1"/>
        <rFont val="Calibri"/>
        <family val="2"/>
        <scheme val="minor"/>
      </rPr>
      <t>0.15 MJ/Lap/DragPoint )</t>
    </r>
  </si>
  <si>
    <t xml:space="preserve">Le Mans_2WD_FIA_model </t>
  </si>
  <si>
    <r>
      <t>Le Mans_2WD_FIA_model</t>
    </r>
    <r>
      <rPr>
        <b/>
        <sz val="11"/>
        <color theme="1"/>
        <rFont val="Calibri"/>
        <family val="2"/>
        <scheme val="minor"/>
      </rPr>
      <t>_RaciLine</t>
    </r>
  </si>
  <si>
    <t>Fuel From Canopy  [L]</t>
  </si>
  <si>
    <t>Full LeMans Stint Consumption [L]</t>
  </si>
  <si>
    <r>
      <t xml:space="preserve">Le Mans </t>
    </r>
    <r>
      <rPr>
        <b/>
        <sz val="11"/>
        <color theme="1"/>
        <rFont val="Calibri"/>
        <family val="2"/>
        <scheme val="minor"/>
      </rPr>
      <t>PreKnock engine map (VAL21T05Dyno)</t>
    </r>
  </si>
  <si>
    <r>
      <t xml:space="preserve">Le Mans </t>
    </r>
    <r>
      <rPr>
        <b/>
        <sz val="11"/>
        <color theme="1"/>
        <rFont val="Calibri"/>
        <family val="2"/>
        <scheme val="minor"/>
      </rPr>
      <t>PostKnock engine map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(V16)</t>
    </r>
  </si>
  <si>
    <t>DYNO data</t>
  </si>
  <si>
    <r>
      <t>Canopy dmFuelMapData (</t>
    </r>
    <r>
      <rPr>
        <b/>
        <sz val="11"/>
        <color rgb="FFFF0000"/>
        <rFont val="Calibri"/>
        <family val="2"/>
        <scheme val="minor"/>
      </rPr>
      <t>Pre-knock Dyno data</t>
    </r>
    <r>
      <rPr>
        <b/>
        <sz val="11"/>
        <color theme="1"/>
        <rFont val="Calibri"/>
        <family val="2"/>
        <scheme val="minor"/>
      </rPr>
      <t>)</t>
    </r>
  </si>
  <si>
    <r>
      <t xml:space="preserve">FOR --&gt; </t>
    </r>
    <r>
      <rPr>
        <b/>
        <sz val="11"/>
        <color rgb="FFFF0000"/>
        <rFont val="Calibri"/>
        <family val="2"/>
        <scheme val="minor"/>
      </rPr>
      <t>LUT_fuelflow_VAL21T05</t>
    </r>
  </si>
  <si>
    <t>Already on Canopy</t>
  </si>
  <si>
    <t>FOR --&gt; LUT_fuelflow_VAL21T05_FromTrack</t>
  </si>
  <si>
    <r>
      <rPr>
        <b/>
        <sz val="11"/>
        <rFont val="Calibri"/>
        <family val="2"/>
        <scheme val="minor"/>
      </rPr>
      <t>FOR --&gt;</t>
    </r>
    <r>
      <rPr>
        <b/>
        <sz val="11"/>
        <color rgb="FF0070C0"/>
        <rFont val="Calibri"/>
        <family val="2"/>
        <scheme val="minor"/>
      </rPr>
      <t xml:space="preserve"> LUT_fuelflow_V16</t>
    </r>
  </si>
  <si>
    <t>Post-Knock</t>
  </si>
  <si>
    <t>VAL 21T05 MAP (New engine at Dyno)</t>
  </si>
  <si>
    <t>From Track data</t>
  </si>
  <si>
    <t>bSFC Estimation at Driveshafts</t>
  </si>
  <si>
    <t>33% LOAD</t>
  </si>
  <si>
    <t>Matt's version</t>
  </si>
  <si>
    <r>
      <t>Fuelcons_lap_</t>
    </r>
    <r>
      <rPr>
        <b/>
        <sz val="11"/>
        <color rgb="FF000000"/>
        <rFont val="Calibri"/>
        <family val="2"/>
        <scheme val="minor"/>
      </rPr>
      <t>FFM</t>
    </r>
    <r>
      <rPr>
        <sz val="11"/>
        <color rgb="FF000000"/>
        <rFont val="Calibri"/>
        <family val="2"/>
        <scheme val="minor"/>
      </rPr>
      <t xml:space="preserve"> [kg]</t>
    </r>
  </si>
  <si>
    <r>
      <t xml:space="preserve">Fuelcons_lap_DynoVAL21T05 (from </t>
    </r>
    <r>
      <rPr>
        <b/>
        <sz val="11"/>
        <color theme="1"/>
        <rFont val="Calibri"/>
        <family val="2"/>
        <scheme val="minor"/>
      </rPr>
      <t>Dyno bSFC)</t>
    </r>
    <r>
      <rPr>
        <sz val="11"/>
        <color rgb="FF000000"/>
        <rFont val="Calibri"/>
        <family val="2"/>
        <scheme val="minor"/>
      </rPr>
      <t xml:space="preserve"> [kg]</t>
    </r>
  </si>
  <si>
    <r>
      <t xml:space="preserve">Fuelcons_lap_Dyno_PostKnock (from </t>
    </r>
    <r>
      <rPr>
        <b/>
        <sz val="11"/>
        <color rgb="FF000000"/>
        <rFont val="Calibri"/>
        <family val="2"/>
        <scheme val="minor"/>
      </rPr>
      <t>Dyno bSFC)</t>
    </r>
    <r>
      <rPr>
        <sz val="11"/>
        <color rgb="FF000000"/>
        <rFont val="Calibri"/>
        <family val="2"/>
        <scheme val="minor"/>
      </rPr>
      <t xml:space="preserve"> [kg]</t>
    </r>
  </si>
  <si>
    <t>[kg/lap]</t>
  </si>
  <si>
    <t>2m refuelling time to full tank [s]</t>
  </si>
  <si>
    <t>2.6m refuelling time to full tank  [s]</t>
  </si>
  <si>
    <t>Wet Conditions</t>
  </si>
  <si>
    <t>(same fuel quantity of Le Mans Stint)</t>
  </si>
  <si>
    <t>Post-Knock Control session (New engine at Dyno)</t>
  </si>
  <si>
    <t>33% Load</t>
  </si>
  <si>
    <t>66% Load</t>
  </si>
  <si>
    <t>Full Load 520kW</t>
  </si>
  <si>
    <t>Full Load 500kW</t>
  </si>
  <si>
    <t>Full Load 480kW</t>
  </si>
  <si>
    <t>\\pe.local\shares\P074\TestData\20210513_PIPO_Engine5ADelivery</t>
  </si>
  <si>
    <t>Data location</t>
  </si>
  <si>
    <t>File</t>
  </si>
  <si>
    <t>P21-05A-20210512-21-06-01-Engine_Courbe21 - 063 -520 kw old map Vallelunga</t>
  </si>
  <si>
    <t>\\pe.local\shares\P074\TestData\20210510_PIPO_KnockControl</t>
  </si>
  <si>
    <t>P21-01B-20210311-12-39-07Engine_Courbe21-0018-TGS</t>
  </si>
  <si>
    <t>P21-05A-20210512-20-34-55-Engine_Partial load 30%</t>
  </si>
  <si>
    <t>P21-05A-20210512-20-47-15-Engine_Courbe21 - 060 -520kw -partial</t>
  </si>
  <si>
    <t>66% LOAD</t>
  </si>
  <si>
    <t>Improved map after knock control session</t>
  </si>
  <si>
    <t>P21-01B-20210507-20-39-14-Engine_Courbe-47-48</t>
  </si>
  <si>
    <t>P21-05A-20210512-20-54-58-Engine_Courbe21 - 062 -500 kw</t>
  </si>
  <si>
    <t xml:space="preserve">P21-05A-20210512-20-50-04-Engine_Courbe21 - 061 -480kw </t>
  </si>
  <si>
    <t>Matt's Version</t>
  </si>
  <si>
    <t>WinDarab fuelflow VAL21T05 Map [kg/h]</t>
  </si>
  <si>
    <t>WinDarab bSFC VAL21T05 DYNO Map [kg/h]</t>
  </si>
  <si>
    <t>nmot</t>
  </si>
  <si>
    <t>WinDarab bSFC Post-Knock DYNO Map [kg/h]</t>
  </si>
  <si>
    <r>
      <t xml:space="preserve">Fuelcons_ </t>
    </r>
    <r>
      <rPr>
        <b/>
        <sz val="11"/>
        <color rgb="FF000000"/>
        <rFont val="Calibri"/>
        <family val="2"/>
        <scheme val="minor"/>
      </rPr>
      <t>VAL21T05_Dyno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[L]</t>
    </r>
  </si>
  <si>
    <r>
      <t xml:space="preserve">WD_LUT_Fuelcons_V16  </t>
    </r>
    <r>
      <rPr>
        <b/>
        <sz val="11"/>
        <color rgb="FF000000"/>
        <rFont val="Calibri"/>
        <family val="2"/>
        <scheme val="minor"/>
      </rPr>
      <t>(Post-Knock)   [L]</t>
    </r>
  </si>
  <si>
    <t>Improvement</t>
  </si>
  <si>
    <r>
      <t xml:space="preserve">21VALT05 (FROM DYNO DATA </t>
    </r>
    <r>
      <rPr>
        <b/>
        <sz val="11"/>
        <color rgb="FFFF0000"/>
        <rFont val="Calibri"/>
        <family val="2"/>
        <scheme val="minor"/>
      </rPr>
      <t>063</t>
    </r>
    <r>
      <rPr>
        <b/>
        <sz val="11"/>
        <color theme="1"/>
        <rFont val="Calibri"/>
        <family val="2"/>
        <scheme val="minor"/>
      </rPr>
      <t>)</t>
    </r>
  </si>
  <si>
    <r>
      <t>R</t>
    </r>
    <r>
      <rPr>
        <b/>
        <sz val="10"/>
        <color rgb="FFFF0000"/>
        <rFont val="Calibri"/>
        <family val="2"/>
        <scheme val="minor"/>
      </rPr>
      <t>060</t>
    </r>
    <r>
      <rPr>
        <b/>
        <sz val="10"/>
        <color theme="4"/>
        <rFont val="Calibri"/>
        <family val="2"/>
        <scheme val="minor"/>
      </rPr>
      <t>-Map improved after knock control</t>
    </r>
  </si>
  <si>
    <r>
      <t>R</t>
    </r>
    <r>
      <rPr>
        <b/>
        <sz val="10"/>
        <color rgb="FFFF0000"/>
        <rFont val="Calibri"/>
        <family val="2"/>
        <scheme val="minor"/>
      </rPr>
      <t>060</t>
    </r>
    <r>
      <rPr>
        <b/>
        <sz val="10"/>
        <color rgb="FF0070C0"/>
        <rFont val="Calibri"/>
        <family val="2"/>
        <scheme val="minor"/>
      </rPr>
      <t>-Map improved after knock control</t>
    </r>
  </si>
  <si>
    <r>
      <t xml:space="preserve">21VALT05 (FROM DYNO DATA Run </t>
    </r>
    <r>
      <rPr>
        <b/>
        <sz val="11"/>
        <color rgb="FFFF0000"/>
        <rFont val="Calibri"/>
        <family val="2"/>
        <scheme val="minor"/>
      </rPr>
      <t>063</t>
    </r>
    <r>
      <rPr>
        <b/>
        <sz val="11"/>
        <color theme="1"/>
        <rFont val="Calibri"/>
        <family val="2"/>
        <scheme val="minor"/>
      </rPr>
      <t>)</t>
    </r>
  </si>
  <si>
    <t>me_act/me_max</t>
  </si>
  <si>
    <t>request</t>
  </si>
  <si>
    <t>kg/s</t>
  </si>
  <si>
    <t>kg/h</t>
  </si>
  <si>
    <r>
      <t>Canopy dmFuelMapData (</t>
    </r>
    <r>
      <rPr>
        <b/>
        <u/>
        <sz val="11"/>
        <color rgb="FFFF0000"/>
        <rFont val="Calibri"/>
        <family val="2"/>
        <scheme val="minor"/>
      </rPr>
      <t>From PIPO Dyno run 060</t>
    </r>
    <r>
      <rPr>
        <b/>
        <sz val="11"/>
        <color theme="1"/>
        <rFont val="Calibri"/>
        <family val="2"/>
        <scheme val="minor"/>
      </rPr>
      <t>)</t>
    </r>
  </si>
  <si>
    <t>bSFC Map VAL21T05 (Dyno) [g/kWh]</t>
  </si>
  <si>
    <t>bSFC Map PostKnock (Dyno) [g/kWh]</t>
  </si>
  <si>
    <t>Max Power</t>
  </si>
  <si>
    <t>kW</t>
  </si>
  <si>
    <t>Max Torque</t>
  </si>
  <si>
    <t>Nm</t>
  </si>
  <si>
    <t>Original Maps</t>
  </si>
  <si>
    <t>Power [kW]/MaxPower</t>
  </si>
  <si>
    <t>Torque [Nm]/MaxTorque</t>
  </si>
  <si>
    <t>RPM/REV_Lim</t>
  </si>
  <si>
    <t>REV Limit</t>
  </si>
  <si>
    <r>
      <t xml:space="preserve">21VALT05 (FROM DYNO DATA </t>
    </r>
    <r>
      <rPr>
        <b/>
        <sz val="10"/>
        <color rgb="FFFF0000"/>
        <rFont val="Calibri"/>
        <family val="2"/>
        <scheme val="minor"/>
      </rPr>
      <t>063</t>
    </r>
    <r>
      <rPr>
        <b/>
        <sz val="10"/>
        <color theme="1"/>
        <rFont val="Calibri"/>
        <family val="2"/>
        <scheme val="minor"/>
      </rPr>
      <t>)</t>
    </r>
  </si>
  <si>
    <r>
      <t>R</t>
    </r>
    <r>
      <rPr>
        <b/>
        <sz val="9"/>
        <color rgb="FFFF0000"/>
        <rFont val="Calibri"/>
        <family val="2"/>
        <scheme val="minor"/>
      </rPr>
      <t>060</t>
    </r>
    <r>
      <rPr>
        <b/>
        <sz val="9"/>
        <color theme="4"/>
        <rFont val="Calibri"/>
        <family val="2"/>
        <scheme val="minor"/>
      </rPr>
      <t>-Map improved after knock control</t>
    </r>
  </si>
  <si>
    <t>bSFC Delta %</t>
  </si>
  <si>
    <t>LUT_fuelflow_ARA21T06_FromTrack</t>
  </si>
  <si>
    <t>Fasulla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</si>
</sst>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"/>
    <numFmt numFmtId="166" formatCode="0.0"/>
    <numFmt numFmtId="167" formatCode="0.0000000"/>
    <numFmt numFmtId="168" formatCode="mm:ss.00"/>
    <numFmt numFmtId="169" formatCode="0.0000"/>
    <numFmt numFmtId="170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7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7" fillId="25" borderId="48" applyNumberFormat="0" applyAlignment="0" applyProtection="0"/>
  </cellStyleXfs>
  <cellXfs count="45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1" fillId="4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3" borderId="0" xfId="0" applyFont="1" applyFill="1" applyBorder="1" applyAlignment="1">
      <alignment horizontal="center"/>
    </xf>
    <xf numFmtId="164" fontId="0" fillId="0" borderId="0" xfId="0" applyNumberFormat="1" applyBorder="1"/>
    <xf numFmtId="165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0" xfId="0" applyFont="1" applyBorder="1"/>
    <xf numFmtId="0" fontId="4" fillId="3" borderId="0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4" fillId="3" borderId="28" xfId="0" applyFont="1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30" xfId="0" applyFont="1" applyBorder="1"/>
    <xf numFmtId="0" fontId="1" fillId="0" borderId="0" xfId="0" applyFont="1" applyBorder="1"/>
    <xf numFmtId="165" fontId="0" fillId="0" borderId="0" xfId="0" applyNumberFormat="1" applyBorder="1"/>
    <xf numFmtId="165" fontId="0" fillId="0" borderId="31" xfId="0" applyNumberFormat="1" applyBorder="1"/>
    <xf numFmtId="0" fontId="1" fillId="0" borderId="32" xfId="0" applyFont="1" applyBorder="1"/>
    <xf numFmtId="1" fontId="1" fillId="0" borderId="31" xfId="0" applyNumberFormat="1" applyFont="1" applyFill="1" applyBorder="1"/>
    <xf numFmtId="0" fontId="0" fillId="0" borderId="31" xfId="0" applyFont="1" applyBorder="1"/>
    <xf numFmtId="0" fontId="0" fillId="0" borderId="33" xfId="0" applyBorder="1"/>
    <xf numFmtId="0" fontId="0" fillId="0" borderId="34" xfId="0" applyBorder="1"/>
    <xf numFmtId="0" fontId="3" fillId="0" borderId="0" xfId="0" applyFont="1" applyBorder="1"/>
    <xf numFmtId="10" fontId="0" fillId="0" borderId="0" xfId="0" applyNumberFormat="1" applyBorder="1"/>
    <xf numFmtId="164" fontId="0" fillId="0" borderId="31" xfId="0" applyNumberFormat="1" applyBorder="1"/>
    <xf numFmtId="165" fontId="0" fillId="0" borderId="16" xfId="0" applyNumberFormat="1" applyBorder="1"/>
    <xf numFmtId="165" fontId="0" fillId="0" borderId="35" xfId="0" applyNumberFormat="1" applyBorder="1"/>
    <xf numFmtId="2" fontId="0" fillId="0" borderId="16" xfId="0" applyNumberFormat="1" applyBorder="1"/>
    <xf numFmtId="2" fontId="0" fillId="0" borderId="31" xfId="0" applyNumberFormat="1" applyBorder="1"/>
    <xf numFmtId="2" fontId="0" fillId="0" borderId="35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4" xfId="0" applyNumberFormat="1" applyBorder="1"/>
    <xf numFmtId="0" fontId="6" fillId="0" borderId="7" xfId="0" applyFont="1" applyBorder="1"/>
    <xf numFmtId="0" fontId="6" fillId="0" borderId="11" xfId="0" applyFont="1" applyBorder="1"/>
    <xf numFmtId="0" fontId="6" fillId="0" borderId="13" xfId="0" applyFont="1" applyBorder="1"/>
    <xf numFmtId="165" fontId="7" fillId="0" borderId="16" xfId="0" applyNumberFormat="1" applyFont="1" applyBorder="1"/>
    <xf numFmtId="0" fontId="7" fillId="0" borderId="31" xfId="0" applyFont="1" applyBorder="1"/>
    <xf numFmtId="0" fontId="7" fillId="0" borderId="35" xfId="0" applyFont="1" applyBorder="1"/>
    <xf numFmtId="166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6" fontId="1" fillId="4" borderId="2" xfId="0" applyNumberFormat="1" applyFont="1" applyFill="1" applyBorder="1" applyAlignment="1">
      <alignment horizontal="center"/>
    </xf>
    <xf numFmtId="166" fontId="1" fillId="4" borderId="3" xfId="0" applyNumberFormat="1" applyFont="1" applyFill="1" applyBorder="1" applyAlignment="1">
      <alignment horizontal="center"/>
    </xf>
    <xf numFmtId="0" fontId="0" fillId="6" borderId="0" xfId="0" applyFill="1" applyBorder="1"/>
    <xf numFmtId="0" fontId="0" fillId="6" borderId="31" xfId="0" applyFill="1" applyBorder="1"/>
    <xf numFmtId="0" fontId="0" fillId="0" borderId="32" xfId="0" applyBorder="1"/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0" applyNumberFormat="1" applyFont="1" applyBorder="1"/>
    <xf numFmtId="167" fontId="0" fillId="0" borderId="0" xfId="0" applyNumberFormat="1" applyBorder="1"/>
    <xf numFmtId="167" fontId="0" fillId="0" borderId="31" xfId="0" applyNumberFormat="1" applyBorder="1"/>
    <xf numFmtId="167" fontId="0" fillId="0" borderId="31" xfId="0" applyNumberFormat="1" applyFont="1" applyBorder="1" applyAlignment="1">
      <alignment horizontal="right"/>
    </xf>
    <xf numFmtId="166" fontId="0" fillId="0" borderId="31" xfId="0" applyNumberFormat="1" applyBorder="1" applyAlignment="1">
      <alignment horizontal="right"/>
    </xf>
    <xf numFmtId="0" fontId="1" fillId="7" borderId="0" xfId="0" applyFont="1" applyFill="1"/>
    <xf numFmtId="10" fontId="1" fillId="2" borderId="36" xfId="0" applyNumberFormat="1" applyFont="1" applyFill="1" applyBorder="1"/>
    <xf numFmtId="10" fontId="1" fillId="2" borderId="37" xfId="0" applyNumberFormat="1" applyFont="1" applyFill="1" applyBorder="1"/>
    <xf numFmtId="10" fontId="1" fillId="2" borderId="38" xfId="0" applyNumberFormat="1" applyFont="1" applyFill="1" applyBorder="1"/>
    <xf numFmtId="0" fontId="4" fillId="3" borderId="26" xfId="0" applyFont="1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10" fontId="0" fillId="2" borderId="36" xfId="0" applyNumberFormat="1" applyFill="1" applyBorder="1"/>
    <xf numFmtId="10" fontId="0" fillId="2" borderId="37" xfId="0" applyNumberFormat="1" applyFill="1" applyBorder="1"/>
    <xf numFmtId="10" fontId="0" fillId="2" borderId="38" xfId="0" applyNumberFormat="1" applyFill="1" applyBorder="1"/>
    <xf numFmtId="0" fontId="1" fillId="7" borderId="32" xfId="0" applyFont="1" applyFill="1" applyBorder="1"/>
    <xf numFmtId="10" fontId="0" fillId="0" borderId="31" xfId="0" applyNumberFormat="1" applyBorder="1"/>
    <xf numFmtId="10" fontId="0" fillId="0" borderId="0" xfId="0" applyNumberFormat="1" applyFill="1" applyBorder="1"/>
    <xf numFmtId="10" fontId="0" fillId="2" borderId="26" xfId="0" applyNumberFormat="1" applyFill="1" applyBorder="1"/>
    <xf numFmtId="0" fontId="1" fillId="0" borderId="22" xfId="0" applyFont="1" applyBorder="1" applyAlignment="1">
      <alignment horizontal="center"/>
    </xf>
    <xf numFmtId="0" fontId="1" fillId="0" borderId="39" xfId="0" applyFont="1" applyBorder="1"/>
    <xf numFmtId="0" fontId="1" fillId="0" borderId="4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3" xfId="0" applyBorder="1"/>
    <xf numFmtId="0" fontId="1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13" borderId="26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165" fontId="1" fillId="0" borderId="22" xfId="0" applyNumberFormat="1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/>
    </xf>
    <xf numFmtId="0" fontId="1" fillId="0" borderId="41" xfId="0" applyFont="1" applyBorder="1"/>
    <xf numFmtId="0" fontId="16" fillId="8" borderId="26" xfId="0" applyFont="1" applyFill="1" applyBorder="1"/>
    <xf numFmtId="165" fontId="1" fillId="15" borderId="26" xfId="0" applyNumberFormat="1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3" fillId="12" borderId="26" xfId="0" applyFont="1" applyFill="1" applyBorder="1" applyAlignment="1">
      <alignment vertical="center" wrapText="1"/>
    </xf>
    <xf numFmtId="0" fontId="0" fillId="0" borderId="26" xfId="0" applyBorder="1" applyAlignment="1">
      <alignment vertical="center"/>
    </xf>
    <xf numFmtId="168" fontId="13" fillId="0" borderId="26" xfId="0" applyNumberFormat="1" applyFont="1" applyBorder="1" applyAlignment="1">
      <alignment horizontal="center" vertical="center" wrapText="1"/>
    </xf>
    <xf numFmtId="169" fontId="13" fillId="0" borderId="26" xfId="0" applyNumberFormat="1" applyFont="1" applyBorder="1" applyAlignment="1">
      <alignment horizontal="center" vertical="center" wrapText="1"/>
    </xf>
    <xf numFmtId="170" fontId="13" fillId="0" borderId="26" xfId="1" applyNumberFormat="1" applyFont="1" applyBorder="1" applyAlignment="1">
      <alignment horizontal="center" vertical="center" wrapText="1"/>
    </xf>
    <xf numFmtId="166" fontId="0" fillId="0" borderId="26" xfId="0" applyNumberForma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" fillId="14" borderId="22" xfId="0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166" fontId="1" fillId="3" borderId="3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169" fontId="1" fillId="14" borderId="2" xfId="0" applyNumberFormat="1" applyFont="1" applyFill="1" applyBorder="1" applyAlignment="1">
      <alignment vertical="center"/>
    </xf>
    <xf numFmtId="169" fontId="1" fillId="3" borderId="2" xfId="0" applyNumberFormat="1" applyFont="1" applyFill="1" applyBorder="1" applyAlignment="1">
      <alignment vertical="center"/>
    </xf>
    <xf numFmtId="165" fontId="1" fillId="3" borderId="2" xfId="0" applyNumberFormat="1" applyFont="1" applyFill="1" applyBorder="1" applyAlignment="1">
      <alignment vertical="center"/>
    </xf>
    <xf numFmtId="170" fontId="1" fillId="3" borderId="2" xfId="0" applyNumberFormat="1" applyFont="1" applyFill="1" applyBorder="1" applyAlignment="1">
      <alignment vertical="center"/>
    </xf>
    <xf numFmtId="166" fontId="1" fillId="3" borderId="2" xfId="0" applyNumberFormat="1" applyFont="1" applyFill="1" applyBorder="1" applyAlignment="1">
      <alignment vertical="center"/>
    </xf>
    <xf numFmtId="0" fontId="19" fillId="3" borderId="3" xfId="0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169" fontId="0" fillId="2" borderId="2" xfId="0" applyNumberForma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0" fillId="3" borderId="0" xfId="0" applyNumberFormat="1" applyFill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5" fillId="17" borderId="2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8" fontId="13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68" fontId="13" fillId="18" borderId="10" xfId="0" applyNumberFormat="1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10" fontId="0" fillId="18" borderId="10" xfId="0" applyNumberFormat="1" applyFill="1" applyBorder="1" applyAlignment="1">
      <alignment horizontal="center" vertical="center"/>
    </xf>
    <xf numFmtId="165" fontId="0" fillId="18" borderId="10" xfId="0" applyNumberFormat="1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19" borderId="10" xfId="0" applyFill="1" applyBorder="1" applyAlignment="1">
      <alignment vertical="center"/>
    </xf>
    <xf numFmtId="165" fontId="0" fillId="19" borderId="10" xfId="0" applyNumberFormat="1" applyFill="1" applyBorder="1" applyAlignment="1">
      <alignment horizontal="center" vertical="center"/>
    </xf>
    <xf numFmtId="47" fontId="0" fillId="0" borderId="10" xfId="0" applyNumberFormat="1" applyBorder="1" applyAlignment="1">
      <alignment horizontal="center" vertical="center"/>
    </xf>
    <xf numFmtId="47" fontId="0" fillId="18" borderId="43" xfId="0" applyNumberFormat="1" applyFill="1" applyBorder="1" applyAlignment="1">
      <alignment horizontal="center" vertical="center"/>
    </xf>
    <xf numFmtId="0" fontId="0" fillId="18" borderId="43" xfId="0" applyFill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" fillId="20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69" fontId="0" fillId="0" borderId="17" xfId="0" applyNumberFormat="1" applyBorder="1"/>
    <xf numFmtId="169" fontId="0" fillId="0" borderId="18" xfId="0" applyNumberFormat="1" applyBorder="1"/>
    <xf numFmtId="169" fontId="0" fillId="0" borderId="19" xfId="0" applyNumberFormat="1" applyBorder="1"/>
    <xf numFmtId="169" fontId="0" fillId="0" borderId="20" xfId="0" applyNumberFormat="1" applyBorder="1"/>
    <xf numFmtId="169" fontId="0" fillId="0" borderId="0" xfId="0" applyNumberFormat="1" applyBorder="1"/>
    <xf numFmtId="169" fontId="0" fillId="0" borderId="21" xfId="0" applyNumberFormat="1" applyBorder="1"/>
    <xf numFmtId="169" fontId="0" fillId="0" borderId="23" xfId="0" applyNumberFormat="1" applyFont="1" applyBorder="1" applyAlignment="1">
      <alignment horizontal="right"/>
    </xf>
    <xf numFmtId="169" fontId="0" fillId="0" borderId="24" xfId="0" applyNumberFormat="1" applyFont="1" applyBorder="1" applyAlignment="1">
      <alignment horizontal="right"/>
    </xf>
    <xf numFmtId="169" fontId="0" fillId="0" borderId="25" xfId="0" applyNumberFormat="1" applyFont="1" applyBorder="1" applyAlignment="1">
      <alignment horizontal="right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3" xfId="0" applyNumberFormat="1" applyFont="1" applyBorder="1" applyAlignment="1">
      <alignment horizontal="right"/>
    </xf>
    <xf numFmtId="165" fontId="0" fillId="0" borderId="24" xfId="0" applyNumberFormat="1" applyFont="1" applyBorder="1" applyAlignment="1">
      <alignment horizontal="right"/>
    </xf>
    <xf numFmtId="165" fontId="0" fillId="0" borderId="25" xfId="0" applyNumberFormat="1" applyFont="1" applyBorder="1" applyAlignment="1">
      <alignment horizontal="right"/>
    </xf>
    <xf numFmtId="165" fontId="0" fillId="0" borderId="17" xfId="0" applyNumberFormat="1" applyFont="1" applyBorder="1" applyAlignment="1">
      <alignment horizontal="right"/>
    </xf>
    <xf numFmtId="165" fontId="0" fillId="0" borderId="18" xfId="0" applyNumberFormat="1" applyFont="1" applyBorder="1" applyAlignment="1">
      <alignment horizontal="right"/>
    </xf>
    <xf numFmtId="165" fontId="0" fillId="0" borderId="19" xfId="0" applyNumberFormat="1" applyFont="1" applyBorder="1" applyAlignment="1">
      <alignment horizontal="right"/>
    </xf>
    <xf numFmtId="165" fontId="0" fillId="0" borderId="2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165" fontId="0" fillId="0" borderId="21" xfId="0" applyNumberFormat="1" applyFont="1" applyBorder="1" applyAlignment="1">
      <alignment horizontal="right"/>
    </xf>
    <xf numFmtId="164" fontId="0" fillId="2" borderId="9" xfId="0" applyNumberFormat="1" applyFill="1" applyBorder="1"/>
    <xf numFmtId="164" fontId="0" fillId="2" borderId="12" xfId="0" applyNumberFormat="1" applyFill="1" applyBorder="1"/>
    <xf numFmtId="164" fontId="0" fillId="2" borderId="15" xfId="0" applyNumberFormat="1" applyFill="1" applyBorder="1"/>
    <xf numFmtId="166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166" fontId="1" fillId="4" borderId="45" xfId="0" applyNumberFormat="1" applyFont="1" applyFill="1" applyBorder="1" applyAlignment="1">
      <alignment horizontal="center"/>
    </xf>
    <xf numFmtId="166" fontId="1" fillId="4" borderId="46" xfId="0" applyNumberFormat="1" applyFont="1" applyFill="1" applyBorder="1" applyAlignment="1">
      <alignment horizontal="center"/>
    </xf>
    <xf numFmtId="166" fontId="1" fillId="4" borderId="47" xfId="0" applyNumberFormat="1" applyFont="1" applyFill="1" applyBorder="1" applyAlignment="1">
      <alignment horizontal="center"/>
    </xf>
    <xf numFmtId="0" fontId="20" fillId="20" borderId="0" xfId="0" applyFont="1" applyFill="1" applyBorder="1" applyAlignment="1">
      <alignment horizontal="center"/>
    </xf>
    <xf numFmtId="0" fontId="13" fillId="12" borderId="37" xfId="0" applyFont="1" applyFill="1" applyBorder="1" applyAlignment="1">
      <alignment vertical="center" wrapText="1"/>
    </xf>
    <xf numFmtId="0" fontId="13" fillId="12" borderId="38" xfId="0" applyFont="1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/>
    </xf>
    <xf numFmtId="165" fontId="1" fillId="0" borderId="26" xfId="0" applyNumberFormat="1" applyFont="1" applyFill="1" applyBorder="1" applyAlignment="1">
      <alignment horizontal="center"/>
    </xf>
    <xf numFmtId="0" fontId="1" fillId="18" borderId="26" xfId="0" applyFont="1" applyFill="1" applyBorder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1" fillId="20" borderId="0" xfId="0" applyFont="1" applyFill="1" applyAlignment="1">
      <alignment vertical="center"/>
    </xf>
    <xf numFmtId="0" fontId="0" fillId="5" borderId="28" xfId="0" applyFill="1" applyBorder="1" applyAlignment="1">
      <alignment horizontal="center"/>
    </xf>
    <xf numFmtId="10" fontId="0" fillId="0" borderId="0" xfId="0" applyNumberFormat="1"/>
    <xf numFmtId="0" fontId="22" fillId="0" borderId="0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0" fontId="0" fillId="0" borderId="0" xfId="0" applyFill="1"/>
    <xf numFmtId="0" fontId="1" fillId="22" borderId="0" xfId="0" applyFont="1" applyFill="1"/>
    <xf numFmtId="0" fontId="0" fillId="23" borderId="0" xfId="0" applyFont="1" applyFill="1" applyBorder="1" applyAlignment="1">
      <alignment horizontal="right"/>
    </xf>
    <xf numFmtId="167" fontId="0" fillId="23" borderId="0" xfId="0" applyNumberFormat="1" applyFont="1" applyFill="1" applyBorder="1" applyAlignment="1">
      <alignment horizontal="right"/>
    </xf>
    <xf numFmtId="166" fontId="0" fillId="23" borderId="0" xfId="0" applyNumberFormat="1" applyFill="1" applyBorder="1" applyAlignment="1">
      <alignment horizontal="right"/>
    </xf>
    <xf numFmtId="0" fontId="1" fillId="21" borderId="0" xfId="0" applyFont="1" applyFill="1" applyAlignment="1"/>
    <xf numFmtId="0" fontId="1" fillId="21" borderId="20" xfId="0" applyFont="1" applyFill="1" applyBorder="1" applyAlignment="1"/>
    <xf numFmtId="0" fontId="0" fillId="5" borderId="28" xfId="0" applyFill="1" applyBorder="1"/>
    <xf numFmtId="10" fontId="1" fillId="2" borderId="26" xfId="0" applyNumberFormat="1" applyFont="1" applyFill="1" applyBorder="1"/>
    <xf numFmtId="0" fontId="1" fillId="0" borderId="0" xfId="0" applyFont="1" applyAlignment="1">
      <alignment horizontal="right"/>
    </xf>
    <xf numFmtId="0" fontId="1" fillId="2" borderId="27" xfId="0" applyFont="1" applyFill="1" applyBorder="1" applyAlignment="1"/>
    <xf numFmtId="0" fontId="1" fillId="2" borderId="28" xfId="0" applyFont="1" applyFill="1" applyBorder="1" applyAlignment="1"/>
    <xf numFmtId="0" fontId="1" fillId="0" borderId="42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36" xfId="0" applyNumberFormat="1" applyFont="1" applyFill="1" applyBorder="1" applyAlignment="1">
      <alignment horizontal="center"/>
    </xf>
    <xf numFmtId="1" fontId="1" fillId="0" borderId="37" xfId="0" applyNumberFormat="1" applyFont="1" applyFill="1" applyBorder="1" applyAlignment="1">
      <alignment horizontal="center"/>
    </xf>
    <xf numFmtId="1" fontId="1" fillId="0" borderId="38" xfId="0" applyNumberFormat="1" applyFont="1" applyFill="1" applyBorder="1" applyAlignment="1">
      <alignment horizontal="center"/>
    </xf>
    <xf numFmtId="0" fontId="0" fillId="0" borderId="27" xfId="0" applyFont="1" applyBorder="1" applyAlignment="1">
      <alignment horizontal="right"/>
    </xf>
    <xf numFmtId="0" fontId="0" fillId="0" borderId="28" xfId="0" applyFont="1" applyBorder="1" applyAlignment="1">
      <alignment horizontal="right"/>
    </xf>
    <xf numFmtId="0" fontId="0" fillId="0" borderId="29" xfId="0" applyFont="1" applyBorder="1" applyAlignment="1">
      <alignment horizontal="right"/>
    </xf>
    <xf numFmtId="0" fontId="0" fillId="0" borderId="32" xfId="0" applyFont="1" applyBorder="1" applyAlignment="1">
      <alignment horizontal="right"/>
    </xf>
    <xf numFmtId="0" fontId="0" fillId="0" borderId="33" xfId="0" applyFont="1" applyBorder="1" applyAlignment="1">
      <alignment horizontal="right"/>
    </xf>
    <xf numFmtId="0" fontId="0" fillId="0" borderId="34" xfId="0" applyFont="1" applyBorder="1" applyAlignment="1">
      <alignment horizontal="right"/>
    </xf>
    <xf numFmtId="0" fontId="1" fillId="0" borderId="17" xfId="0" applyFont="1" applyBorder="1"/>
    <xf numFmtId="0" fontId="1" fillId="0" borderId="18" xfId="0" applyFont="1" applyBorder="1"/>
    <xf numFmtId="1" fontId="1" fillId="0" borderId="18" xfId="0" applyNumberFormat="1" applyFont="1" applyFill="1" applyBorder="1"/>
    <xf numFmtId="1" fontId="1" fillId="0" borderId="19" xfId="0" applyNumberFormat="1" applyFont="1" applyFill="1" applyBorder="1"/>
    <xf numFmtId="0" fontId="1" fillId="0" borderId="22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14" borderId="0" xfId="0" applyFont="1" applyFill="1"/>
    <xf numFmtId="0" fontId="0" fillId="14" borderId="0" xfId="0" applyFill="1"/>
    <xf numFmtId="0" fontId="13" fillId="20" borderId="26" xfId="0" applyFont="1" applyFill="1" applyBorder="1" applyAlignment="1">
      <alignment horizontal="center" vertical="center" wrapText="1"/>
    </xf>
    <xf numFmtId="0" fontId="0" fillId="20" borderId="0" xfId="0" applyFill="1"/>
    <xf numFmtId="164" fontId="0" fillId="24" borderId="9" xfId="0" applyNumberFormat="1" applyFill="1" applyBorder="1"/>
    <xf numFmtId="164" fontId="0" fillId="24" borderId="12" xfId="0" applyNumberFormat="1" applyFill="1" applyBorder="1"/>
    <xf numFmtId="164" fontId="0" fillId="10" borderId="12" xfId="0" applyNumberFormat="1" applyFill="1" applyBorder="1"/>
    <xf numFmtId="164" fontId="0" fillId="10" borderId="15" xfId="0" applyNumberFormat="1" applyFill="1" applyBorder="1"/>
    <xf numFmtId="165" fontId="0" fillId="0" borderId="24" xfId="0" applyNumberFormat="1" applyBorder="1"/>
    <xf numFmtId="167" fontId="0" fillId="0" borderId="0" xfId="0" applyNumberFormat="1"/>
    <xf numFmtId="164" fontId="0" fillId="2" borderId="21" xfId="0" applyNumberFormat="1" applyFill="1" applyBorder="1"/>
    <xf numFmtId="0" fontId="25" fillId="0" borderId="0" xfId="0" applyFont="1" applyFill="1" applyBorder="1"/>
    <xf numFmtId="0" fontId="26" fillId="0" borderId="1" xfId="0" applyFont="1" applyBorder="1"/>
    <xf numFmtId="0" fontId="26" fillId="0" borderId="2" xfId="0" applyFont="1" applyBorder="1"/>
    <xf numFmtId="0" fontId="26" fillId="0" borderId="3" xfId="0" applyFont="1" applyBorder="1"/>
    <xf numFmtId="0" fontId="26" fillId="0" borderId="0" xfId="0" applyFont="1" applyFill="1" applyBorder="1"/>
    <xf numFmtId="0" fontId="26" fillId="0" borderId="0" xfId="0" applyFont="1" applyBorder="1"/>
    <xf numFmtId="0" fontId="26" fillId="0" borderId="39" xfId="0" applyFont="1" applyBorder="1"/>
    <xf numFmtId="164" fontId="26" fillId="0" borderId="0" xfId="0" applyNumberFormat="1" applyFont="1" applyBorder="1"/>
    <xf numFmtId="165" fontId="26" fillId="0" borderId="0" xfId="0" applyNumberFormat="1" applyFont="1" applyBorder="1"/>
    <xf numFmtId="0" fontId="26" fillId="0" borderId="41" xfId="0" applyFont="1" applyBorder="1"/>
    <xf numFmtId="0" fontId="26" fillId="0" borderId="41" xfId="0" applyFont="1" applyFill="1" applyBorder="1"/>
    <xf numFmtId="0" fontId="26" fillId="0" borderId="40" xfId="0" applyFont="1" applyFill="1" applyBorder="1"/>
    <xf numFmtId="165" fontId="26" fillId="0" borderId="39" xfId="0" applyNumberFormat="1" applyFont="1" applyBorder="1"/>
    <xf numFmtId="165" fontId="26" fillId="0" borderId="41" xfId="0" applyNumberFormat="1" applyFont="1" applyBorder="1"/>
    <xf numFmtId="165" fontId="26" fillId="0" borderId="40" xfId="0" applyNumberFormat="1" applyFont="1" applyBorder="1"/>
    <xf numFmtId="0" fontId="26" fillId="0" borderId="3" xfId="0" applyFont="1" applyFill="1" applyBorder="1"/>
    <xf numFmtId="165" fontId="0" fillId="0" borderId="0" xfId="0" applyNumberFormat="1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165" fontId="0" fillId="0" borderId="17" xfId="0" applyNumberFormat="1" applyFont="1" applyFill="1" applyBorder="1" applyAlignment="1">
      <alignment horizontal="center"/>
    </xf>
    <xf numFmtId="165" fontId="0" fillId="0" borderId="18" xfId="0" applyNumberFormat="1" applyFont="1" applyFill="1" applyBorder="1" applyAlignment="1">
      <alignment horizontal="center"/>
    </xf>
    <xf numFmtId="165" fontId="0" fillId="0" borderId="20" xfId="0" applyNumberFormat="1" applyFont="1" applyFill="1" applyBorder="1" applyAlignment="1">
      <alignment horizontal="center"/>
    </xf>
    <xf numFmtId="165" fontId="0" fillId="0" borderId="23" xfId="0" applyNumberFormat="1" applyFont="1" applyBorder="1" applyAlignment="1">
      <alignment horizontal="center"/>
    </xf>
    <xf numFmtId="165" fontId="0" fillId="0" borderId="24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5" fillId="0" borderId="39" xfId="0" applyFont="1" applyBorder="1"/>
    <xf numFmtId="0" fontId="26" fillId="0" borderId="17" xfId="0" applyFont="1" applyBorder="1"/>
    <xf numFmtId="0" fontId="26" fillId="0" borderId="18" xfId="0" applyFont="1" applyBorder="1"/>
    <xf numFmtId="0" fontId="26" fillId="0" borderId="19" xfId="0" applyFont="1" applyBorder="1"/>
    <xf numFmtId="0" fontId="25" fillId="0" borderId="41" xfId="0" applyFont="1" applyBorder="1"/>
    <xf numFmtId="0" fontId="26" fillId="0" borderId="20" xfId="0" applyFont="1" applyBorder="1"/>
    <xf numFmtId="0" fontId="26" fillId="0" borderId="21" xfId="0" applyFont="1" applyBorder="1"/>
    <xf numFmtId="0" fontId="25" fillId="0" borderId="40" xfId="0" applyFont="1" applyBorder="1"/>
    <xf numFmtId="0" fontId="26" fillId="0" borderId="23" xfId="0" applyFont="1" applyBorder="1"/>
    <xf numFmtId="0" fontId="26" fillId="0" borderId="24" xfId="0" applyFont="1" applyBorder="1"/>
    <xf numFmtId="0" fontId="26" fillId="0" borderId="25" xfId="0" applyFont="1" applyBorder="1"/>
    <xf numFmtId="0" fontId="26" fillId="0" borderId="0" xfId="0" applyFont="1"/>
    <xf numFmtId="0" fontId="0" fillId="0" borderId="28" xfId="0" applyFill="1" applyBorder="1"/>
    <xf numFmtId="0" fontId="0" fillId="0" borderId="28" xfId="0" applyFill="1" applyBorder="1" applyAlignment="1"/>
    <xf numFmtId="166" fontId="1" fillId="4" borderId="49" xfId="0" applyNumberFormat="1" applyFont="1" applyFill="1" applyBorder="1" applyAlignment="1">
      <alignment horizontal="center"/>
    </xf>
    <xf numFmtId="0" fontId="27" fillId="25" borderId="50" xfId="3" applyBorder="1"/>
    <xf numFmtId="0" fontId="0" fillId="0" borderId="38" xfId="0" applyBorder="1"/>
    <xf numFmtId="165" fontId="0" fillId="0" borderId="0" xfId="0" applyNumberFormat="1" applyBorder="1" applyAlignment="1">
      <alignment horizontal="right"/>
    </xf>
    <xf numFmtId="165" fontId="0" fillId="0" borderId="31" xfId="0" applyNumberFormat="1" applyBorder="1" applyAlignment="1">
      <alignment horizontal="right"/>
    </xf>
    <xf numFmtId="165" fontId="0" fillId="0" borderId="31" xfId="0" applyNumberFormat="1" applyFont="1" applyBorder="1" applyAlignment="1">
      <alignment horizontal="right"/>
    </xf>
    <xf numFmtId="2" fontId="0" fillId="0" borderId="36" xfId="0" applyNumberFormat="1" applyBorder="1"/>
    <xf numFmtId="170" fontId="1" fillId="0" borderId="0" xfId="1" applyNumberFormat="1" applyFont="1" applyFill="1" applyBorder="1"/>
    <xf numFmtId="170" fontId="1" fillId="0" borderId="31" xfId="1" applyNumberFormat="1" applyFont="1" applyFill="1" applyBorder="1"/>
    <xf numFmtId="169" fontId="0" fillId="0" borderId="0" xfId="0" applyNumberFormat="1" applyFont="1" applyBorder="1" applyAlignment="1">
      <alignment horizontal="right"/>
    </xf>
    <xf numFmtId="169" fontId="0" fillId="0" borderId="31" xfId="0" applyNumberFormat="1" applyFont="1" applyBorder="1" applyAlignment="1">
      <alignment horizontal="right"/>
    </xf>
    <xf numFmtId="169" fontId="0" fillId="0" borderId="31" xfId="0" applyNumberFormat="1" applyBorder="1"/>
    <xf numFmtId="9" fontId="0" fillId="0" borderId="0" xfId="1" applyFont="1"/>
    <xf numFmtId="170" fontId="1" fillId="2" borderId="36" xfId="0" applyNumberFormat="1" applyFont="1" applyFill="1" applyBorder="1"/>
    <xf numFmtId="170" fontId="1" fillId="2" borderId="37" xfId="0" applyNumberFormat="1" applyFont="1" applyFill="1" applyBorder="1"/>
    <xf numFmtId="170" fontId="1" fillId="2" borderId="38" xfId="0" applyNumberFormat="1" applyFont="1" applyFill="1" applyBorder="1"/>
    <xf numFmtId="170" fontId="0" fillId="0" borderId="0" xfId="1" applyNumberFormat="1" applyFont="1"/>
    <xf numFmtId="170" fontId="0" fillId="0" borderId="0" xfId="1" applyNumberFormat="1" applyFont="1" applyBorder="1"/>
    <xf numFmtId="170" fontId="0" fillId="0" borderId="31" xfId="1" applyNumberFormat="1" applyFont="1" applyBorder="1"/>
    <xf numFmtId="0" fontId="29" fillId="3" borderId="28" xfId="0" applyFont="1" applyFill="1" applyBorder="1" applyAlignment="1">
      <alignment horizontal="center"/>
    </xf>
    <xf numFmtId="0" fontId="13" fillId="12" borderId="30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vertical="center" wrapText="1"/>
    </xf>
    <xf numFmtId="0" fontId="13" fillId="12" borderId="31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27" fillId="25" borderId="48" xfId="3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20" fillId="2" borderId="27" xfId="0" applyFont="1" applyFill="1" applyBorder="1" applyAlignment="1">
      <alignment horizontal="center"/>
    </xf>
    <xf numFmtId="0" fontId="20" fillId="2" borderId="28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30" fillId="0" borderId="28" xfId="0" applyFont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16" fillId="14" borderId="24" xfId="0" applyFont="1" applyFill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2" fillId="11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" fillId="10" borderId="24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/>
    </xf>
    <xf numFmtId="0" fontId="0" fillId="18" borderId="30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16" borderId="17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16" borderId="2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7" borderId="25" xfId="0" applyFont="1" applyFill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3" borderId="18" xfId="0" applyNumberFormat="1" applyFont="1" applyFill="1" applyBorder="1" applyAlignment="1">
      <alignment horizontal="center" vertical="center"/>
    </xf>
    <xf numFmtId="165" fontId="1" fillId="3" borderId="24" xfId="0" applyNumberFormat="1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8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23" fillId="0" borderId="20" xfId="2" applyBorder="1" applyAlignment="1">
      <alignment horizontal="center"/>
    </xf>
    <xf numFmtId="0" fontId="23" fillId="0" borderId="0" xfId="2" applyBorder="1" applyAlignment="1">
      <alignment horizontal="center"/>
    </xf>
    <xf numFmtId="0" fontId="23" fillId="0" borderId="20" xfId="2" applyBorder="1" applyAlignment="1">
      <alignment horizontal="left"/>
    </xf>
    <xf numFmtId="0" fontId="23" fillId="0" borderId="0" xfId="2" applyBorder="1" applyAlignment="1">
      <alignment horizontal="left"/>
    </xf>
    <xf numFmtId="0" fontId="0" fillId="0" borderId="33" xfId="0" applyBorder="1" applyAlignment="1">
      <alignment horizontal="left"/>
    </xf>
    <xf numFmtId="0" fontId="5" fillId="7" borderId="20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" fillId="21" borderId="20" xfId="0" applyFont="1" applyFill="1" applyBorder="1" applyAlignment="1">
      <alignment horizontal="center"/>
    </xf>
    <xf numFmtId="0" fontId="1" fillId="21" borderId="0" xfId="0" applyFont="1" applyFill="1" applyBorder="1" applyAlignment="1">
      <alignment horizontal="center"/>
    </xf>
    <xf numFmtId="0" fontId="23" fillId="0" borderId="0" xfId="2" applyAlignment="1">
      <alignment horizontal="center"/>
    </xf>
    <xf numFmtId="0" fontId="1" fillId="21" borderId="0" xfId="0" applyFont="1" applyFill="1" applyAlignment="1">
      <alignment horizontal="left"/>
    </xf>
    <xf numFmtId="0" fontId="22" fillId="3" borderId="17" xfId="0" applyFont="1" applyFill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  <xf numFmtId="0" fontId="22" fillId="3" borderId="19" xfId="0" applyFont="1" applyFill="1" applyBorder="1" applyAlignment="1">
      <alignment horizontal="center" vertical="center"/>
    </xf>
    <xf numFmtId="0" fontId="22" fillId="3" borderId="23" xfId="0" applyFont="1" applyFill="1" applyBorder="1" applyAlignment="1">
      <alignment horizontal="center" vertical="center"/>
    </xf>
    <xf numFmtId="0" fontId="22" fillId="3" borderId="24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22" fillId="18" borderId="17" xfId="0" applyFont="1" applyFill="1" applyBorder="1" applyAlignment="1">
      <alignment horizontal="center" vertical="center"/>
    </xf>
    <xf numFmtId="0" fontId="22" fillId="18" borderId="18" xfId="0" applyFont="1" applyFill="1" applyBorder="1" applyAlignment="1">
      <alignment horizontal="center" vertical="center"/>
    </xf>
    <xf numFmtId="0" fontId="22" fillId="18" borderId="19" xfId="0" applyFont="1" applyFill="1" applyBorder="1" applyAlignment="1">
      <alignment horizontal="center" vertical="center"/>
    </xf>
    <xf numFmtId="0" fontId="22" fillId="18" borderId="23" xfId="0" applyFont="1" applyFill="1" applyBorder="1" applyAlignment="1">
      <alignment horizontal="center" vertical="center"/>
    </xf>
    <xf numFmtId="0" fontId="22" fillId="18" borderId="24" xfId="0" applyFont="1" applyFill="1" applyBorder="1" applyAlignment="1">
      <alignment horizontal="center" vertical="center"/>
    </xf>
    <xf numFmtId="0" fontId="22" fillId="18" borderId="25" xfId="0" applyFont="1" applyFill="1" applyBorder="1" applyAlignment="1">
      <alignment horizontal="center" vertical="center"/>
    </xf>
    <xf numFmtId="9" fontId="21" fillId="3" borderId="20" xfId="0" applyNumberFormat="1" applyFont="1" applyFill="1" applyBorder="1" applyAlignment="1">
      <alignment horizontal="center" vertical="center"/>
    </xf>
    <xf numFmtId="9" fontId="21" fillId="3" borderId="31" xfId="0" applyNumberFormat="1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/>
    </xf>
    <xf numFmtId="9" fontId="21" fillId="2" borderId="20" xfId="0" applyNumberFormat="1" applyFont="1" applyFill="1" applyBorder="1" applyAlignment="1">
      <alignment horizontal="center" vertical="center"/>
    </xf>
    <xf numFmtId="9" fontId="21" fillId="2" borderId="31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20" borderId="0" xfId="0" applyFont="1" applyFill="1" applyAlignment="1">
      <alignment horizontal="center" vertical="center" textRotation="90"/>
    </xf>
    <xf numFmtId="164" fontId="0" fillId="21" borderId="21" xfId="0" applyNumberFormat="1" applyFill="1" applyBorder="1"/>
    <xf numFmtId="164" fontId="0" fillId="3" borderId="21" xfId="0" applyNumberFormat="1" applyFill="1" applyBorder="1"/>
    <xf numFmtId="164" fontId="0" fillId="21" borderId="19" xfId="0" applyNumberFormat="1" applyFill="1" applyBorder="1"/>
    <xf numFmtId="164" fontId="0" fillId="2" borderId="25" xfId="0" applyNumberFormat="1" applyFill="1" applyBorder="1"/>
    <xf numFmtId="2" fontId="0" fillId="0" borderId="8" xfId="1" applyNumberFormat="1" applyFont="1" applyBorder="1"/>
    <xf numFmtId="2" fontId="0" fillId="0" borderId="10" xfId="1" applyNumberFormat="1" applyFont="1" applyBorder="1"/>
    <xf numFmtId="2" fontId="0" fillId="0" borderId="14" xfId="1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FF00FF"/>
      <color rgb="FFFFFF00"/>
      <color rgb="FFFFCC00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Pre-Knock</a:t>
            </a:r>
            <a:r>
              <a:rPr lang="it-IT" baseline="0"/>
              <a:t> </a:t>
            </a:r>
            <a:r>
              <a:rPr lang="it-IT" b="1" baseline="0"/>
              <a:t>vs</a:t>
            </a:r>
            <a:r>
              <a:rPr lang="it-IT" baseline="0"/>
              <a:t> Post-Knock calibration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Pre-Knock_Torque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Thesis_AdimensionalMaps!$C$8:$Q$8</c:f>
              <c:numCache>
                <c:formatCode>0.0%</c:formatCode>
                <c:ptCount val="15"/>
                <c:pt idx="0">
                  <c:v>0.5161290322580645</c:v>
                </c:pt>
                <c:pt idx="1">
                  <c:v>0.54838709677419351</c:v>
                </c:pt>
                <c:pt idx="2">
                  <c:v>0.58064516129032262</c:v>
                </c:pt>
                <c:pt idx="3">
                  <c:v>0.61290322580645162</c:v>
                </c:pt>
                <c:pt idx="4">
                  <c:v>0.64516129032258063</c:v>
                </c:pt>
                <c:pt idx="5">
                  <c:v>0.67741935483870963</c:v>
                </c:pt>
                <c:pt idx="6">
                  <c:v>0.70967741935483875</c:v>
                </c:pt>
                <c:pt idx="7">
                  <c:v>0.74193548387096775</c:v>
                </c:pt>
                <c:pt idx="8">
                  <c:v>0.77419354838709675</c:v>
                </c:pt>
                <c:pt idx="9">
                  <c:v>0.80645161290322576</c:v>
                </c:pt>
                <c:pt idx="10">
                  <c:v>0.83870967741935487</c:v>
                </c:pt>
                <c:pt idx="11">
                  <c:v>0.87096774193548387</c:v>
                </c:pt>
                <c:pt idx="12">
                  <c:v>0.90322580645161288</c:v>
                </c:pt>
                <c:pt idx="13">
                  <c:v>0.93548387096774188</c:v>
                </c:pt>
                <c:pt idx="14">
                  <c:v>0.967741935483871</c:v>
                </c:pt>
              </c:numCache>
            </c:numRef>
          </c:xVal>
          <c:yVal>
            <c:numRef>
              <c:f>Thesis_AdimensionalMaps!$C$11:$Q$11</c:f>
              <c:numCache>
                <c:formatCode>0.000</c:formatCode>
                <c:ptCount val="15"/>
                <c:pt idx="0">
                  <c:v>0.78200000000000003</c:v>
                </c:pt>
                <c:pt idx="1">
                  <c:v>0.82299999999999995</c:v>
                </c:pt>
                <c:pt idx="2">
                  <c:v>0.86474999999999991</c:v>
                </c:pt>
                <c:pt idx="3">
                  <c:v>0.89137500000000003</c:v>
                </c:pt>
                <c:pt idx="4">
                  <c:v>0.90112499999999995</c:v>
                </c:pt>
                <c:pt idx="5">
                  <c:v>0.94387500000000002</c:v>
                </c:pt>
                <c:pt idx="6">
                  <c:v>0.95437499999999997</c:v>
                </c:pt>
                <c:pt idx="7">
                  <c:v>0.9534999999999999</c:v>
                </c:pt>
                <c:pt idx="8">
                  <c:v>0.97862499999999997</c:v>
                </c:pt>
                <c:pt idx="9">
                  <c:v>0.97650000000000003</c:v>
                </c:pt>
                <c:pt idx="10">
                  <c:v>0.97887500000000005</c:v>
                </c:pt>
                <c:pt idx="11">
                  <c:v>0.95950000000000002</c:v>
                </c:pt>
                <c:pt idx="12">
                  <c:v>0.91862500000000002</c:v>
                </c:pt>
                <c:pt idx="13">
                  <c:v>0.89762500000000001</c:v>
                </c:pt>
                <c:pt idx="14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5-4DA5-A8AC-85CB4B95AFDF}"/>
            </c:ext>
          </c:extLst>
        </c:ser>
        <c:ser>
          <c:idx val="1"/>
          <c:order val="1"/>
          <c:tx>
            <c:v>Post-Knock_Torque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Thesis_AdimensionalMaps!$C$18:$Q$18</c:f>
              <c:numCache>
                <c:formatCode>0.0%</c:formatCode>
                <c:ptCount val="15"/>
                <c:pt idx="0">
                  <c:v>0.5161290322580645</c:v>
                </c:pt>
                <c:pt idx="1">
                  <c:v>0.54838709677419351</c:v>
                </c:pt>
                <c:pt idx="2">
                  <c:v>0.58064516129032262</c:v>
                </c:pt>
                <c:pt idx="3">
                  <c:v>0.61290322580645162</c:v>
                </c:pt>
                <c:pt idx="4">
                  <c:v>0.64516129032258063</c:v>
                </c:pt>
                <c:pt idx="5">
                  <c:v>0.67741935483870963</c:v>
                </c:pt>
                <c:pt idx="6">
                  <c:v>0.70967741935483875</c:v>
                </c:pt>
                <c:pt idx="7">
                  <c:v>0.74193548387096775</c:v>
                </c:pt>
                <c:pt idx="8">
                  <c:v>0.77419354838709675</c:v>
                </c:pt>
                <c:pt idx="9">
                  <c:v>0.80645161290322576</c:v>
                </c:pt>
                <c:pt idx="10">
                  <c:v>0.83870967741935487</c:v>
                </c:pt>
                <c:pt idx="11">
                  <c:v>0.87096774193548387</c:v>
                </c:pt>
                <c:pt idx="12">
                  <c:v>0.90322580645161288</c:v>
                </c:pt>
                <c:pt idx="13">
                  <c:v>0.93548387096774188</c:v>
                </c:pt>
                <c:pt idx="14">
                  <c:v>0.967741935483871</c:v>
                </c:pt>
              </c:numCache>
            </c:numRef>
          </c:xVal>
          <c:yVal>
            <c:numRef>
              <c:f>Thesis_AdimensionalMaps!$C$21:$Q$21</c:f>
              <c:numCache>
                <c:formatCode>0.000</c:formatCode>
                <c:ptCount val="15"/>
                <c:pt idx="0">
                  <c:v>0.78625</c:v>
                </c:pt>
                <c:pt idx="1">
                  <c:v>0.79474999999999996</c:v>
                </c:pt>
                <c:pt idx="2">
                  <c:v>0.83924999999999994</c:v>
                </c:pt>
                <c:pt idx="3">
                  <c:v>0.86512500000000003</c:v>
                </c:pt>
                <c:pt idx="4">
                  <c:v>0.89687499999999998</c:v>
                </c:pt>
                <c:pt idx="5">
                  <c:v>0.92462500000000003</c:v>
                </c:pt>
                <c:pt idx="6">
                  <c:v>0.949125</c:v>
                </c:pt>
                <c:pt idx="7">
                  <c:v>0.96250000000000002</c:v>
                </c:pt>
                <c:pt idx="8">
                  <c:v>0.96974999999999989</c:v>
                </c:pt>
                <c:pt idx="9">
                  <c:v>0.96900000000000008</c:v>
                </c:pt>
                <c:pt idx="10">
                  <c:v>0.96099999999999997</c:v>
                </c:pt>
                <c:pt idx="11">
                  <c:v>0.95537499999999997</c:v>
                </c:pt>
                <c:pt idx="12">
                  <c:v>0.92525000000000002</c:v>
                </c:pt>
                <c:pt idx="13">
                  <c:v>0.89687499999999998</c:v>
                </c:pt>
                <c:pt idx="14">
                  <c:v>0.87375000000000003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95-4DA5-A8AC-85CB4B95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38735"/>
        <c:axId val="365141231"/>
      </c:scatterChart>
      <c:scatterChart>
        <c:scatterStyle val="smoothMarker"/>
        <c:varyColors val="0"/>
        <c:ser>
          <c:idx val="4"/>
          <c:order val="2"/>
          <c:tx>
            <c:v>Pre-Knock_BSFC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xVal>
            <c:numRef>
              <c:f>Thesis_AdimensionalMaps!$C$8:$Q$8</c:f>
              <c:numCache>
                <c:formatCode>0.0%</c:formatCode>
                <c:ptCount val="15"/>
                <c:pt idx="0">
                  <c:v>0.5161290322580645</c:v>
                </c:pt>
                <c:pt idx="1">
                  <c:v>0.54838709677419351</c:v>
                </c:pt>
                <c:pt idx="2">
                  <c:v>0.58064516129032262</c:v>
                </c:pt>
                <c:pt idx="3">
                  <c:v>0.61290322580645162</c:v>
                </c:pt>
                <c:pt idx="4">
                  <c:v>0.64516129032258063</c:v>
                </c:pt>
                <c:pt idx="5">
                  <c:v>0.67741935483870963</c:v>
                </c:pt>
                <c:pt idx="6">
                  <c:v>0.70967741935483875</c:v>
                </c:pt>
                <c:pt idx="7">
                  <c:v>0.74193548387096775</c:v>
                </c:pt>
                <c:pt idx="8">
                  <c:v>0.77419354838709675</c:v>
                </c:pt>
                <c:pt idx="9">
                  <c:v>0.80645161290322576</c:v>
                </c:pt>
                <c:pt idx="10">
                  <c:v>0.83870967741935487</c:v>
                </c:pt>
                <c:pt idx="11">
                  <c:v>0.87096774193548387</c:v>
                </c:pt>
                <c:pt idx="12">
                  <c:v>0.90322580645161288</c:v>
                </c:pt>
                <c:pt idx="13">
                  <c:v>0.93548387096774188</c:v>
                </c:pt>
                <c:pt idx="14">
                  <c:v>0.967741935483871</c:v>
                </c:pt>
              </c:numCache>
            </c:numRef>
          </c:xVal>
          <c:yVal>
            <c:numRef>
              <c:f>Thesis_AdimensionalMaps!$C$13:$Q$13</c:f>
              <c:numCache>
                <c:formatCode>0.0</c:formatCode>
                <c:ptCount val="15"/>
                <c:pt idx="0">
                  <c:v>220.10716845586194</c:v>
                </c:pt>
                <c:pt idx="1">
                  <c:v>222.01032784041792</c:v>
                </c:pt>
                <c:pt idx="2">
                  <c:v>224.55344346174689</c:v>
                </c:pt>
                <c:pt idx="3">
                  <c:v>232.02579305448589</c:v>
                </c:pt>
                <c:pt idx="4">
                  <c:v>240.30471464809111</c:v>
                </c:pt>
                <c:pt idx="5">
                  <c:v>244.98981689449565</c:v>
                </c:pt>
                <c:pt idx="6">
                  <c:v>248.38375369578051</c:v>
                </c:pt>
                <c:pt idx="7">
                  <c:v>251.32958388958053</c:v>
                </c:pt>
                <c:pt idx="8">
                  <c:v>252.16551560302094</c:v>
                </c:pt>
                <c:pt idx="9">
                  <c:v>250.9612844521412</c:v>
                </c:pt>
                <c:pt idx="10">
                  <c:v>253.58455831172864</c:v>
                </c:pt>
                <c:pt idx="11">
                  <c:v>253.04743012014913</c:v>
                </c:pt>
                <c:pt idx="12">
                  <c:v>253.38167244904409</c:v>
                </c:pt>
                <c:pt idx="13">
                  <c:v>254.46020294238036</c:v>
                </c:pt>
                <c:pt idx="14">
                  <c:v>258.3364556013488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795-4DA5-A8AC-85CB4B95AFDF}"/>
            </c:ext>
          </c:extLst>
        </c:ser>
        <c:ser>
          <c:idx val="5"/>
          <c:order val="3"/>
          <c:tx>
            <c:v>Post-Knock_BSFC</c:v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xVal>
            <c:numRef>
              <c:f>Thesis_AdimensionalMaps!$C$18:$Q$18</c:f>
              <c:numCache>
                <c:formatCode>0.0%</c:formatCode>
                <c:ptCount val="15"/>
                <c:pt idx="0">
                  <c:v>0.5161290322580645</c:v>
                </c:pt>
                <c:pt idx="1">
                  <c:v>0.54838709677419351</c:v>
                </c:pt>
                <c:pt idx="2">
                  <c:v>0.58064516129032262</c:v>
                </c:pt>
                <c:pt idx="3">
                  <c:v>0.61290322580645162</c:v>
                </c:pt>
                <c:pt idx="4">
                  <c:v>0.64516129032258063</c:v>
                </c:pt>
                <c:pt idx="5">
                  <c:v>0.67741935483870963</c:v>
                </c:pt>
                <c:pt idx="6">
                  <c:v>0.70967741935483875</c:v>
                </c:pt>
                <c:pt idx="7">
                  <c:v>0.74193548387096775</c:v>
                </c:pt>
                <c:pt idx="8">
                  <c:v>0.77419354838709675</c:v>
                </c:pt>
                <c:pt idx="9">
                  <c:v>0.80645161290322576</c:v>
                </c:pt>
                <c:pt idx="10">
                  <c:v>0.83870967741935487</c:v>
                </c:pt>
                <c:pt idx="11">
                  <c:v>0.87096774193548387</c:v>
                </c:pt>
                <c:pt idx="12">
                  <c:v>0.90322580645161288</c:v>
                </c:pt>
                <c:pt idx="13">
                  <c:v>0.93548387096774188</c:v>
                </c:pt>
                <c:pt idx="14">
                  <c:v>0.967741935483871</c:v>
                </c:pt>
              </c:numCache>
            </c:numRef>
          </c:xVal>
          <c:yVal>
            <c:numRef>
              <c:f>Thesis_AdimensionalMaps!$C$23:$Q$23</c:f>
              <c:numCache>
                <c:formatCode>0.0</c:formatCode>
                <c:ptCount val="15"/>
                <c:pt idx="0">
                  <c:v>216.35798406124368</c:v>
                </c:pt>
                <c:pt idx="1">
                  <c:v>220.09013582131047</c:v>
                </c:pt>
                <c:pt idx="2">
                  <c:v>220.43174986259976</c:v>
                </c:pt>
                <c:pt idx="3">
                  <c:v>224.85167720390987</c:v>
                </c:pt>
                <c:pt idx="4">
                  <c:v>231.08102709780505</c:v>
                </c:pt>
                <c:pt idx="5">
                  <c:v>233.365640326114</c:v>
                </c:pt>
                <c:pt idx="6">
                  <c:v>233.57386359346768</c:v>
                </c:pt>
                <c:pt idx="7">
                  <c:v>235.18829550399749</c:v>
                </c:pt>
                <c:pt idx="8">
                  <c:v>232.53374778120957</c:v>
                </c:pt>
                <c:pt idx="9">
                  <c:v>234.89972589773419</c:v>
                </c:pt>
                <c:pt idx="10">
                  <c:v>237.5476763803016</c:v>
                </c:pt>
                <c:pt idx="11">
                  <c:v>239.24680628162685</c:v>
                </c:pt>
                <c:pt idx="12">
                  <c:v>242.20761228490244</c:v>
                </c:pt>
                <c:pt idx="13">
                  <c:v>242.25341334082285</c:v>
                </c:pt>
                <c:pt idx="14">
                  <c:v>245.3641690130577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795-4DA5-A8AC-85CB4B95AFDF}"/>
            </c:ext>
          </c:extLst>
        </c:ser>
        <c:ser>
          <c:idx val="2"/>
          <c:order val="4"/>
          <c:tx>
            <c:v>Pre-Knock_FuelRate[kg/h]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  <a:prstDash val="lgDash"/>
              </a:ln>
              <a:effectLst/>
            </c:spPr>
          </c:marker>
          <c:xVal>
            <c:numRef>
              <c:f>Thesis_AdimensionalMaps!$C$8:$Q$8</c:f>
              <c:numCache>
                <c:formatCode>0.0%</c:formatCode>
                <c:ptCount val="15"/>
                <c:pt idx="0">
                  <c:v>0.5161290322580645</c:v>
                </c:pt>
                <c:pt idx="1">
                  <c:v>0.54838709677419351</c:v>
                </c:pt>
                <c:pt idx="2">
                  <c:v>0.58064516129032262</c:v>
                </c:pt>
                <c:pt idx="3">
                  <c:v>0.61290322580645162</c:v>
                </c:pt>
                <c:pt idx="4">
                  <c:v>0.64516129032258063</c:v>
                </c:pt>
                <c:pt idx="5">
                  <c:v>0.67741935483870963</c:v>
                </c:pt>
                <c:pt idx="6">
                  <c:v>0.70967741935483875</c:v>
                </c:pt>
                <c:pt idx="7">
                  <c:v>0.74193548387096775</c:v>
                </c:pt>
                <c:pt idx="8">
                  <c:v>0.77419354838709675</c:v>
                </c:pt>
                <c:pt idx="9">
                  <c:v>0.80645161290322576</c:v>
                </c:pt>
                <c:pt idx="10">
                  <c:v>0.83870967741935487</c:v>
                </c:pt>
                <c:pt idx="11">
                  <c:v>0.87096774193548387</c:v>
                </c:pt>
                <c:pt idx="12">
                  <c:v>0.90322580645161288</c:v>
                </c:pt>
                <c:pt idx="13">
                  <c:v>0.93548387096774188</c:v>
                </c:pt>
                <c:pt idx="14">
                  <c:v>0.967741935483871</c:v>
                </c:pt>
              </c:numCache>
            </c:numRef>
          </c:xVal>
          <c:yVal>
            <c:numRef>
              <c:f>Thesis_AdimensionalMaps!$C$9:$Q$9</c:f>
              <c:numCache>
                <c:formatCode>General</c:formatCode>
                <c:ptCount val="15"/>
                <c:pt idx="0">
                  <c:v>57.65</c:v>
                </c:pt>
                <c:pt idx="1">
                  <c:v>65.022000000000006</c:v>
                </c:pt>
                <c:pt idx="2">
                  <c:v>73.168000000000006</c:v>
                </c:pt>
                <c:pt idx="3">
                  <c:v>82.26</c:v>
                </c:pt>
                <c:pt idx="4">
                  <c:v>90.66</c:v>
                </c:pt>
                <c:pt idx="5">
                  <c:v>101.65300000000001</c:v>
                </c:pt>
                <c:pt idx="6">
                  <c:v>109.17</c:v>
                </c:pt>
                <c:pt idx="7">
                  <c:v>115.38</c:v>
                </c:pt>
                <c:pt idx="8">
                  <c:v>123.98</c:v>
                </c:pt>
                <c:pt idx="9">
                  <c:v>128.25</c:v>
                </c:pt>
                <c:pt idx="10">
                  <c:v>135.102</c:v>
                </c:pt>
                <c:pt idx="11">
                  <c:v>137.22999999999999</c:v>
                </c:pt>
                <c:pt idx="12">
                  <c:v>136.43</c:v>
                </c:pt>
                <c:pt idx="13">
                  <c:v>138.66</c:v>
                </c:pt>
                <c:pt idx="14">
                  <c:v>137.9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95-4DA5-A8AC-85CB4B95AFDF}"/>
            </c:ext>
          </c:extLst>
        </c:ser>
        <c:ser>
          <c:idx val="3"/>
          <c:order val="5"/>
          <c:tx>
            <c:v>Post-Knock_FuelRate[kg/h]</c:v>
          </c:tx>
          <c:spPr>
            <a:ln w="19050" cap="rnd">
              <a:solidFill>
                <a:srgbClr val="00B0F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B0F0"/>
                </a:solidFill>
                <a:prstDash val="lgDash"/>
              </a:ln>
              <a:effectLst/>
            </c:spPr>
          </c:marker>
          <c:xVal>
            <c:numRef>
              <c:f>Thesis_AdimensionalMaps!$C$18:$Q$18</c:f>
              <c:numCache>
                <c:formatCode>0.0%</c:formatCode>
                <c:ptCount val="15"/>
                <c:pt idx="0">
                  <c:v>0.5161290322580645</c:v>
                </c:pt>
                <c:pt idx="1">
                  <c:v>0.54838709677419351</c:v>
                </c:pt>
                <c:pt idx="2">
                  <c:v>0.58064516129032262</c:v>
                </c:pt>
                <c:pt idx="3">
                  <c:v>0.61290322580645162</c:v>
                </c:pt>
                <c:pt idx="4">
                  <c:v>0.64516129032258063</c:v>
                </c:pt>
                <c:pt idx="5">
                  <c:v>0.67741935483870963</c:v>
                </c:pt>
                <c:pt idx="6">
                  <c:v>0.70967741935483875</c:v>
                </c:pt>
                <c:pt idx="7">
                  <c:v>0.74193548387096775</c:v>
                </c:pt>
                <c:pt idx="8">
                  <c:v>0.77419354838709675</c:v>
                </c:pt>
                <c:pt idx="9">
                  <c:v>0.80645161290322576</c:v>
                </c:pt>
                <c:pt idx="10">
                  <c:v>0.83870967741935487</c:v>
                </c:pt>
                <c:pt idx="11">
                  <c:v>0.87096774193548387</c:v>
                </c:pt>
                <c:pt idx="12">
                  <c:v>0.90322580645161288</c:v>
                </c:pt>
                <c:pt idx="13">
                  <c:v>0.93548387096774188</c:v>
                </c:pt>
                <c:pt idx="14">
                  <c:v>0.967741935483871</c:v>
                </c:pt>
              </c:numCache>
            </c:numRef>
          </c:xVal>
          <c:yVal>
            <c:numRef>
              <c:f>Thesis_AdimensionalMaps!$C$19:$Q$19</c:f>
              <c:numCache>
                <c:formatCode>0.0</c:formatCode>
                <c:ptCount val="15"/>
                <c:pt idx="0">
                  <c:v>56.975999999999999</c:v>
                </c:pt>
                <c:pt idx="1">
                  <c:v>62.247</c:v>
                </c:pt>
                <c:pt idx="2">
                  <c:v>69.706999999999994</c:v>
                </c:pt>
                <c:pt idx="3">
                  <c:v>77.369</c:v>
                </c:pt>
                <c:pt idx="4">
                  <c:v>86.769000000000005</c:v>
                </c:pt>
                <c:pt idx="5">
                  <c:v>94.855000000000004</c:v>
                </c:pt>
                <c:pt idx="6">
                  <c:v>102.096</c:v>
                </c:pt>
                <c:pt idx="7">
                  <c:v>108.989</c:v>
                </c:pt>
                <c:pt idx="8">
                  <c:v>113.291</c:v>
                </c:pt>
                <c:pt idx="9">
                  <c:v>119.12</c:v>
                </c:pt>
                <c:pt idx="10">
                  <c:v>124.247</c:v>
                </c:pt>
                <c:pt idx="11">
                  <c:v>129.18799999999999</c:v>
                </c:pt>
                <c:pt idx="12">
                  <c:v>131.35400000000001</c:v>
                </c:pt>
                <c:pt idx="13">
                  <c:v>131.898</c:v>
                </c:pt>
                <c:pt idx="14">
                  <c:v>134.63499999999999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95-4DA5-A8AC-85CB4B95A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76751"/>
        <c:axId val="125284735"/>
      </c:scatterChart>
      <c:valAx>
        <c:axId val="365138735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RPM / REV_Lim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141231"/>
        <c:crosses val="autoZero"/>
        <c:crossBetween val="midCat"/>
      </c:valAx>
      <c:valAx>
        <c:axId val="36514123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Torque / MaxTorque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138735"/>
        <c:crosses val="autoZero"/>
        <c:crossBetween val="midCat"/>
      </c:valAx>
      <c:valAx>
        <c:axId val="125284735"/>
        <c:scaling>
          <c:orientation val="minMax"/>
          <c:max val="45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BSFC [g/kWh] &amp; Fuel</a:t>
                </a:r>
                <a:r>
                  <a:rPr lang="it-IT" baseline="0"/>
                  <a:t> Rate [kg/s]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276751"/>
        <c:crosses val="max"/>
        <c:crossBetween val="midCat"/>
      </c:valAx>
      <c:valAx>
        <c:axId val="497276751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12528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Fuel mass flow rate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123394126089544"/>
                  <c:y val="8.11857089822033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Canopy_dmFuelMaps!$Z$35:$AN$35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Canopy_dmFuelMaps!$Z$36:$AN$36</c:f>
              <c:numCache>
                <c:formatCode>0.0</c:formatCode>
                <c:ptCount val="15"/>
                <c:pt idx="0">
                  <c:v>56.975999999999999</c:v>
                </c:pt>
                <c:pt idx="1">
                  <c:v>62.247</c:v>
                </c:pt>
                <c:pt idx="2">
                  <c:v>69.706999999999994</c:v>
                </c:pt>
                <c:pt idx="3">
                  <c:v>77.369</c:v>
                </c:pt>
                <c:pt idx="4">
                  <c:v>86.769000000000005</c:v>
                </c:pt>
                <c:pt idx="5">
                  <c:v>94.855000000000004</c:v>
                </c:pt>
                <c:pt idx="6">
                  <c:v>102.096</c:v>
                </c:pt>
                <c:pt idx="7">
                  <c:v>108.989</c:v>
                </c:pt>
                <c:pt idx="8">
                  <c:v>113.291</c:v>
                </c:pt>
                <c:pt idx="9">
                  <c:v>119.12</c:v>
                </c:pt>
                <c:pt idx="10">
                  <c:v>124.247</c:v>
                </c:pt>
                <c:pt idx="11">
                  <c:v>129.18799999999999</c:v>
                </c:pt>
                <c:pt idx="12">
                  <c:v>131.35400000000001</c:v>
                </c:pt>
                <c:pt idx="13">
                  <c:v>131.898</c:v>
                </c:pt>
                <c:pt idx="14">
                  <c:v>134.63499999999999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4-4E12-AC9B-AF3BECA8F2ED}"/>
            </c:ext>
          </c:extLst>
        </c:ser>
        <c:ser>
          <c:idx val="1"/>
          <c:order val="1"/>
          <c:tx>
            <c:v>VAL21T05 Map (track use)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Canopy_dmFuelMaps!$C$38:$I$38</c:f>
              <c:numCache>
                <c:formatCode>General</c:formatCode>
                <c:ptCount val="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</c:numCache>
            </c:numRef>
          </c:xVal>
          <c:yVal>
            <c:numRef>
              <c:f>Canopy_dmFuelMaps!$C$39:$I$39</c:f>
              <c:numCache>
                <c:formatCode>General</c:formatCode>
                <c:ptCount val="7"/>
                <c:pt idx="0">
                  <c:v>49.264068234172676</c:v>
                </c:pt>
                <c:pt idx="1">
                  <c:v>76.515218691264721</c:v>
                </c:pt>
                <c:pt idx="2">
                  <c:v>99.280050202177208</c:v>
                </c:pt>
                <c:pt idx="3">
                  <c:v>117.5585627669094</c:v>
                </c:pt>
                <c:pt idx="4">
                  <c:v>131.35075638546166</c:v>
                </c:pt>
                <c:pt idx="5">
                  <c:v>140.65663105783369</c:v>
                </c:pt>
                <c:pt idx="6">
                  <c:v>145.47618678402614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84-4E12-AC9B-AF3BECA8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6767"/>
        <c:axId val="518063855"/>
      </c:scatterChart>
      <c:valAx>
        <c:axId val="518066767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63855"/>
        <c:crosses val="autoZero"/>
        <c:crossBetween val="midCat"/>
      </c:valAx>
      <c:valAx>
        <c:axId val="5180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mfuel [kg/h]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Torque/Power</a:t>
            </a:r>
            <a:r>
              <a:rPr lang="it-IT" baseline="0"/>
              <a:t> Curve + bSFC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Canopy_dmFuelMaps!$Z$35:$AN$35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Canopy_dmFuelMaps!$Z$38:$AN$38</c:f>
              <c:numCache>
                <c:formatCode>0.0</c:formatCode>
                <c:ptCount val="15"/>
                <c:pt idx="0">
                  <c:v>629</c:v>
                </c:pt>
                <c:pt idx="1">
                  <c:v>635.79999999999995</c:v>
                </c:pt>
                <c:pt idx="2">
                  <c:v>671.4</c:v>
                </c:pt>
                <c:pt idx="3">
                  <c:v>692.1</c:v>
                </c:pt>
                <c:pt idx="4">
                  <c:v>717.5</c:v>
                </c:pt>
                <c:pt idx="5">
                  <c:v>739.7</c:v>
                </c:pt>
                <c:pt idx="6">
                  <c:v>759.3</c:v>
                </c:pt>
                <c:pt idx="7">
                  <c:v>770</c:v>
                </c:pt>
                <c:pt idx="8">
                  <c:v>775.8</c:v>
                </c:pt>
                <c:pt idx="9">
                  <c:v>775.2</c:v>
                </c:pt>
                <c:pt idx="10">
                  <c:v>768.8</c:v>
                </c:pt>
                <c:pt idx="11">
                  <c:v>764.3</c:v>
                </c:pt>
                <c:pt idx="12">
                  <c:v>740.2</c:v>
                </c:pt>
                <c:pt idx="13">
                  <c:v>717.5</c:v>
                </c:pt>
                <c:pt idx="14">
                  <c:v>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4-4113-9049-0A7845E080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Canopy_dmFuelMaps!$Z$35:$AN$35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Canopy_dmFuelMaps!$Z$39:$AN$39</c:f>
              <c:numCache>
                <c:formatCode>0.0</c:formatCode>
                <c:ptCount val="15"/>
                <c:pt idx="0">
                  <c:v>263.34133333333335</c:v>
                </c:pt>
                <c:pt idx="1">
                  <c:v>282.82503333333335</c:v>
                </c:pt>
                <c:pt idx="2">
                  <c:v>316.2294</c:v>
                </c:pt>
                <c:pt idx="3">
                  <c:v>344.08904999999999</c:v>
                </c:pt>
                <c:pt idx="4">
                  <c:v>375.49166666666673</c:v>
                </c:pt>
                <c:pt idx="5">
                  <c:v>406.46515000000011</c:v>
                </c:pt>
                <c:pt idx="6">
                  <c:v>437.10369999999995</c:v>
                </c:pt>
                <c:pt idx="7">
                  <c:v>463.41166666666675</c:v>
                </c:pt>
                <c:pt idx="8">
                  <c:v>487.20240000000007</c:v>
                </c:pt>
                <c:pt idx="9">
                  <c:v>507.11000000000007</c:v>
                </c:pt>
                <c:pt idx="10">
                  <c:v>523.04026666666675</c:v>
                </c:pt>
                <c:pt idx="11">
                  <c:v>539.97794999999996</c:v>
                </c:pt>
                <c:pt idx="12">
                  <c:v>542.31986666666671</c:v>
                </c:pt>
                <c:pt idx="13">
                  <c:v>544.46291666666673</c:v>
                </c:pt>
                <c:pt idx="14">
                  <c:v>548.71500000000015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4-4113-9049-0A7845E08007}"/>
            </c:ext>
          </c:extLst>
        </c:ser>
        <c:ser>
          <c:idx val="3"/>
          <c:order val="2"/>
          <c:tx>
            <c:v>bSFC (track use,Matlab script)</c:v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lgDashDot"/>
              </a:ln>
              <a:effectLst/>
            </c:spPr>
          </c:marker>
          <c:xVal>
            <c:numRef>
              <c:f>Canopy_dmFuelMaps!$C$38:$J$38</c:f>
              <c:numCache>
                <c:formatCode>General</c:formatCode>
                <c:ptCount val="8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</c:numCache>
            </c:numRef>
          </c:xVal>
          <c:yVal>
            <c:numRef>
              <c:f>Canopy_dmFuelMaps!$C$43:$J$43</c:f>
              <c:numCache>
                <c:formatCode>General</c:formatCode>
                <c:ptCount val="8"/>
                <c:pt idx="0">
                  <c:v>903.73459738210863</c:v>
                </c:pt>
                <c:pt idx="1">
                  <c:v>494.82719167868925</c:v>
                </c:pt>
                <c:pt idx="2">
                  <c:v>532.23756318730182</c:v>
                </c:pt>
                <c:pt idx="3">
                  <c:v>453.87497370388513</c:v>
                </c:pt>
                <c:pt idx="4">
                  <c:v>411.72434378573917</c:v>
                </c:pt>
                <c:pt idx="5">
                  <c:v>287.63742749106359</c:v>
                </c:pt>
                <c:pt idx="6">
                  <c:v>282.23381009327721</c:v>
                </c:pt>
                <c:pt idx="7">
                  <c:v>290.69863792816443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E-4261-936F-B35F841E2238}"/>
            </c:ext>
          </c:extLst>
        </c:ser>
        <c:ser>
          <c:idx val="5"/>
          <c:order val="3"/>
          <c:tx>
            <c:v>bSFC (PreBancage)</c:v>
          </c:tx>
          <c:spPr>
            <a:ln w="19050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  <a:prstDash val="lgDashDotDot"/>
              </a:ln>
              <a:effectLst/>
            </c:spPr>
          </c:marker>
          <c:xVal>
            <c:numRef>
              <c:f>Canopy_dmFuelMaps!$C$47:$Q$47</c:f>
              <c:numCache>
                <c:formatCode>0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Canopy_dmFuelMaps!$C$52:$Q$52</c:f>
              <c:numCache>
                <c:formatCode>0.0</c:formatCode>
                <c:ptCount val="15"/>
                <c:pt idx="0">
                  <c:v>220.10716845586194</c:v>
                </c:pt>
                <c:pt idx="1">
                  <c:v>222.01032784041792</c:v>
                </c:pt>
                <c:pt idx="2">
                  <c:v>224.55344346174689</c:v>
                </c:pt>
                <c:pt idx="3">
                  <c:v>232.02579305448589</c:v>
                </c:pt>
                <c:pt idx="4">
                  <c:v>240.30471464809111</c:v>
                </c:pt>
                <c:pt idx="5">
                  <c:v>244.98981689449565</c:v>
                </c:pt>
                <c:pt idx="6">
                  <c:v>248.38375369578051</c:v>
                </c:pt>
                <c:pt idx="7">
                  <c:v>251.32958388958053</c:v>
                </c:pt>
                <c:pt idx="8">
                  <c:v>252.16551560302094</c:v>
                </c:pt>
                <c:pt idx="9">
                  <c:v>250.9612844521412</c:v>
                </c:pt>
                <c:pt idx="10">
                  <c:v>253.58455831172864</c:v>
                </c:pt>
                <c:pt idx="11">
                  <c:v>253.04743012014913</c:v>
                </c:pt>
                <c:pt idx="12">
                  <c:v>253.38167244904409</c:v>
                </c:pt>
                <c:pt idx="13">
                  <c:v>254.46020294238036</c:v>
                </c:pt>
                <c:pt idx="14">
                  <c:v>258.3364556013488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EE-4261-936F-B35F841E2238}"/>
            </c:ext>
          </c:extLst>
        </c:ser>
        <c:ser>
          <c:idx val="2"/>
          <c:order val="4"/>
          <c:tx>
            <c:v>bSFC (After Bancage Run 060)</c:v>
          </c:tx>
          <c:spPr>
            <a:ln w="19050" cap="rnd">
              <a:solidFill>
                <a:srgbClr val="6699FF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6699FF"/>
                </a:solidFill>
                <a:prstDash val="dashDot"/>
              </a:ln>
              <a:effectLst/>
            </c:spPr>
          </c:marker>
          <c:xVal>
            <c:numRef>
              <c:f>Canopy_dmFuelMaps!$Z$35:$AN$35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Canopy_dmFuelMaps!$Z$40:$AN$40</c:f>
              <c:numCache>
                <c:formatCode>0.0</c:formatCode>
                <c:ptCount val="15"/>
                <c:pt idx="0">
                  <c:v>216.35798406124368</c:v>
                </c:pt>
                <c:pt idx="1">
                  <c:v>220.09013582131047</c:v>
                </c:pt>
                <c:pt idx="2">
                  <c:v>220.43174986259976</c:v>
                </c:pt>
                <c:pt idx="3">
                  <c:v>224.85167720390987</c:v>
                </c:pt>
                <c:pt idx="4">
                  <c:v>231.08102709780505</c:v>
                </c:pt>
                <c:pt idx="5">
                  <c:v>233.365640326114</c:v>
                </c:pt>
                <c:pt idx="6">
                  <c:v>233.57386359346768</c:v>
                </c:pt>
                <c:pt idx="7">
                  <c:v>235.18829550399749</c:v>
                </c:pt>
                <c:pt idx="8">
                  <c:v>232.53374778120957</c:v>
                </c:pt>
                <c:pt idx="9">
                  <c:v>234.89972589773419</c:v>
                </c:pt>
                <c:pt idx="10">
                  <c:v>237.5476763803016</c:v>
                </c:pt>
                <c:pt idx="11">
                  <c:v>239.24680628162685</c:v>
                </c:pt>
                <c:pt idx="12">
                  <c:v>242.20761228490244</c:v>
                </c:pt>
                <c:pt idx="13">
                  <c:v>242.25341334082285</c:v>
                </c:pt>
                <c:pt idx="14">
                  <c:v>245.3641690130577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A3-4498-9F79-8550649E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1967"/>
        <c:axId val="237035295"/>
      </c:scatterChart>
      <c:valAx>
        <c:axId val="237031967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7035295"/>
        <c:crosses val="autoZero"/>
        <c:crossBetween val="midCat"/>
      </c:valAx>
      <c:valAx>
        <c:axId val="2370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703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Torque/Power</a:t>
            </a:r>
            <a:r>
              <a:rPr lang="it-IT" baseline="0"/>
              <a:t> Curve + bSFC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Drag Torque [Nm]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Canopy_dmFuelMaps!$C$56:$J$56</c:f>
              <c:numCache>
                <c:formatCode>0</c:formatCode>
                <c:ptCount val="8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</c:numCache>
            </c:numRef>
          </c:xVal>
          <c:yVal>
            <c:numRef>
              <c:f>Canopy_dmFuelMaps!$C$59:$J$59</c:f>
              <c:numCache>
                <c:formatCode>General</c:formatCode>
                <c:ptCount val="8"/>
                <c:pt idx="0">
                  <c:v>-5.2013333333333334</c:v>
                </c:pt>
                <c:pt idx="1">
                  <c:v>-7.7889999999999997</c:v>
                </c:pt>
                <c:pt idx="2">
                  <c:v>-10.688499999999999</c:v>
                </c:pt>
                <c:pt idx="3">
                  <c:v>-12.911</c:v>
                </c:pt>
                <c:pt idx="4">
                  <c:v>-11.494</c:v>
                </c:pt>
                <c:pt idx="5">
                  <c:v>-19.948666666666664</c:v>
                </c:pt>
                <c:pt idx="6">
                  <c:v>-32.835000000000001</c:v>
                </c:pt>
                <c:pt idx="7">
                  <c:v>-30.893000000000001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4-4113-9049-0A7845E08007}"/>
            </c:ext>
          </c:extLst>
        </c:ser>
        <c:ser>
          <c:idx val="1"/>
          <c:order val="1"/>
          <c:tx>
            <c:v>Drag Power [kW]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Canopy_dmFuelMaps!$C$56:$J$56</c:f>
              <c:numCache>
                <c:formatCode>0</c:formatCode>
                <c:ptCount val="8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</c:numCache>
            </c:numRef>
          </c:xVal>
          <c:yVal>
            <c:numRef>
              <c:f>Canopy_dmFuelMaps!$C$60:$J$60</c:f>
              <c:numCache>
                <c:formatCode>General</c:formatCode>
                <c:ptCount val="8"/>
                <c:pt idx="0">
                  <c:v>-1.917</c:v>
                </c:pt>
                <c:pt idx="1">
                  <c:v>-1.78</c:v>
                </c:pt>
                <c:pt idx="2">
                  <c:v>-4.8004999999999995</c:v>
                </c:pt>
                <c:pt idx="3">
                  <c:v>-7.0215000000000005</c:v>
                </c:pt>
                <c:pt idx="4">
                  <c:v>-5.8653333333333322</c:v>
                </c:pt>
                <c:pt idx="5">
                  <c:v>-11.458333333333334</c:v>
                </c:pt>
                <c:pt idx="6">
                  <c:v>-19.463000000000001</c:v>
                </c:pt>
                <c:pt idx="7">
                  <c:v>-18.998000000000001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74-4113-9049-0A7845E08007}"/>
            </c:ext>
          </c:extLst>
        </c:ser>
        <c:ser>
          <c:idx val="3"/>
          <c:order val="2"/>
          <c:tx>
            <c:v>Torque [Nm]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Canopy_dmFuelMaps!$C$47:$Q$47</c:f>
              <c:numCache>
                <c:formatCode>0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Canopy_dmFuelMaps!$C$50:$Q$50</c:f>
              <c:numCache>
                <c:formatCode>General</c:formatCode>
                <c:ptCount val="15"/>
                <c:pt idx="0">
                  <c:v>625.6</c:v>
                </c:pt>
                <c:pt idx="1">
                  <c:v>658.4</c:v>
                </c:pt>
                <c:pt idx="2">
                  <c:v>691.8</c:v>
                </c:pt>
                <c:pt idx="3">
                  <c:v>713.1</c:v>
                </c:pt>
                <c:pt idx="4">
                  <c:v>720.9</c:v>
                </c:pt>
                <c:pt idx="5">
                  <c:v>755.1</c:v>
                </c:pt>
                <c:pt idx="6">
                  <c:v>763.5</c:v>
                </c:pt>
                <c:pt idx="7">
                  <c:v>762.8</c:v>
                </c:pt>
                <c:pt idx="8">
                  <c:v>782.9</c:v>
                </c:pt>
                <c:pt idx="9">
                  <c:v>781.2</c:v>
                </c:pt>
                <c:pt idx="10">
                  <c:v>783.1</c:v>
                </c:pt>
                <c:pt idx="11">
                  <c:v>767.6</c:v>
                </c:pt>
                <c:pt idx="12">
                  <c:v>734.9</c:v>
                </c:pt>
                <c:pt idx="13">
                  <c:v>718.1</c:v>
                </c:pt>
                <c:pt idx="14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C7-446C-9CA8-CE45E55EFAAB}"/>
            </c:ext>
          </c:extLst>
        </c:ser>
        <c:ser>
          <c:idx val="4"/>
          <c:order val="3"/>
          <c:tx>
            <c:v>Power [kW]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Canopy_dmFuelMaps!$C$47:$Q$47</c:f>
              <c:numCache>
                <c:formatCode>0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Canopy_dmFuelMaps!$C$51:$Q$51</c:f>
              <c:numCache>
                <c:formatCode>0.0</c:formatCode>
                <c:ptCount val="15"/>
                <c:pt idx="0">
                  <c:v>261.91786666666673</c:v>
                </c:pt>
                <c:pt idx="1">
                  <c:v>292.87826666666666</c:v>
                </c:pt>
                <c:pt idx="2">
                  <c:v>325.83780000000002</c:v>
                </c:pt>
                <c:pt idx="3">
                  <c:v>354.52954999999997</c:v>
                </c:pt>
                <c:pt idx="4">
                  <c:v>377.27100000000007</c:v>
                </c:pt>
                <c:pt idx="5">
                  <c:v>414.92745000000002</c:v>
                </c:pt>
                <c:pt idx="6">
                  <c:v>439.5215</c:v>
                </c:pt>
                <c:pt idx="7">
                  <c:v>459.07846666666666</c:v>
                </c:pt>
                <c:pt idx="8">
                  <c:v>491.66120000000001</c:v>
                </c:pt>
                <c:pt idx="9">
                  <c:v>511.03500000000008</c:v>
                </c:pt>
                <c:pt idx="10">
                  <c:v>532.76903333333348</c:v>
                </c:pt>
                <c:pt idx="11">
                  <c:v>542.30939999999998</c:v>
                </c:pt>
                <c:pt idx="12">
                  <c:v>538.43673333333345</c:v>
                </c:pt>
                <c:pt idx="13">
                  <c:v>544.91821666666669</c:v>
                </c:pt>
                <c:pt idx="14">
                  <c:v>533.80000000000007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C7-446C-9CA8-CE45E55EFAAB}"/>
            </c:ext>
          </c:extLst>
        </c:ser>
        <c:ser>
          <c:idx val="5"/>
          <c:order val="4"/>
          <c:tx>
            <c:v>bSFC_FullLoad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Canopy_dmFuelMaps!$C$47:$Q$47</c:f>
              <c:numCache>
                <c:formatCode>0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Canopy_dmFuelMaps!$C$52:$Q$52</c:f>
              <c:numCache>
                <c:formatCode>0.0</c:formatCode>
                <c:ptCount val="15"/>
                <c:pt idx="0">
                  <c:v>220.10716845586194</c:v>
                </c:pt>
                <c:pt idx="1">
                  <c:v>222.01032784041792</c:v>
                </c:pt>
                <c:pt idx="2">
                  <c:v>224.55344346174689</c:v>
                </c:pt>
                <c:pt idx="3">
                  <c:v>232.02579305448589</c:v>
                </c:pt>
                <c:pt idx="4">
                  <c:v>240.30471464809111</c:v>
                </c:pt>
                <c:pt idx="5">
                  <c:v>244.98981689449565</c:v>
                </c:pt>
                <c:pt idx="6">
                  <c:v>248.38375369578051</c:v>
                </c:pt>
                <c:pt idx="7">
                  <c:v>251.32958388958053</c:v>
                </c:pt>
                <c:pt idx="8">
                  <c:v>252.16551560302094</c:v>
                </c:pt>
                <c:pt idx="9">
                  <c:v>250.9612844521412</c:v>
                </c:pt>
                <c:pt idx="10">
                  <c:v>253.58455831172864</c:v>
                </c:pt>
                <c:pt idx="11">
                  <c:v>253.04743012014913</c:v>
                </c:pt>
                <c:pt idx="12">
                  <c:v>253.38167244904409</c:v>
                </c:pt>
                <c:pt idx="13">
                  <c:v>254.46020294238036</c:v>
                </c:pt>
                <c:pt idx="14">
                  <c:v>258.3364556013488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6C-9CA8-CE45E55E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31967"/>
        <c:axId val="237035295"/>
      </c:scatterChart>
      <c:valAx>
        <c:axId val="237031967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7035295"/>
        <c:crosses val="autoZero"/>
        <c:crossBetween val="midCat"/>
      </c:valAx>
      <c:valAx>
        <c:axId val="2370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703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Torque/Power</a:t>
            </a:r>
            <a:r>
              <a:rPr lang="it-IT" baseline="0"/>
              <a:t> Curves PreVSPost DynoKnockControl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Torque(Pre_Knock)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'PreVSPost-Bancage'!$E$4:$S$4</c:f>
              <c:numCache>
                <c:formatCode>0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'PreVSPost-Bancage'!$E$7:$S$7</c:f>
              <c:numCache>
                <c:formatCode>General</c:formatCode>
                <c:ptCount val="15"/>
                <c:pt idx="0">
                  <c:v>625.6</c:v>
                </c:pt>
                <c:pt idx="1">
                  <c:v>658.4</c:v>
                </c:pt>
                <c:pt idx="2">
                  <c:v>691.8</c:v>
                </c:pt>
                <c:pt idx="3">
                  <c:v>713.1</c:v>
                </c:pt>
                <c:pt idx="4">
                  <c:v>720.9</c:v>
                </c:pt>
                <c:pt idx="5">
                  <c:v>755.1</c:v>
                </c:pt>
                <c:pt idx="6">
                  <c:v>763.5</c:v>
                </c:pt>
                <c:pt idx="7">
                  <c:v>762.8</c:v>
                </c:pt>
                <c:pt idx="8">
                  <c:v>782.9</c:v>
                </c:pt>
                <c:pt idx="9">
                  <c:v>781.2</c:v>
                </c:pt>
                <c:pt idx="10">
                  <c:v>783.1</c:v>
                </c:pt>
                <c:pt idx="11">
                  <c:v>767.6</c:v>
                </c:pt>
                <c:pt idx="12">
                  <c:v>734.9</c:v>
                </c:pt>
                <c:pt idx="13">
                  <c:v>718.1</c:v>
                </c:pt>
                <c:pt idx="14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E-4AF6-8279-4C13DF3AE404}"/>
            </c:ext>
          </c:extLst>
        </c:ser>
        <c:ser>
          <c:idx val="2"/>
          <c:order val="1"/>
          <c:tx>
            <c:v>Torque(Post-Knock)</c:v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'PreVSPost-Bancage'!$E$14:$S$14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'PreVSPost-Bancage'!$E$17:$S$17</c:f>
              <c:numCache>
                <c:formatCode>0.0</c:formatCode>
                <c:ptCount val="15"/>
                <c:pt idx="0">
                  <c:v>629</c:v>
                </c:pt>
                <c:pt idx="1">
                  <c:v>635.79999999999995</c:v>
                </c:pt>
                <c:pt idx="2">
                  <c:v>671.4</c:v>
                </c:pt>
                <c:pt idx="3">
                  <c:v>692.1</c:v>
                </c:pt>
                <c:pt idx="4">
                  <c:v>717.5</c:v>
                </c:pt>
                <c:pt idx="5">
                  <c:v>739.7</c:v>
                </c:pt>
                <c:pt idx="6">
                  <c:v>759.3</c:v>
                </c:pt>
                <c:pt idx="7">
                  <c:v>770</c:v>
                </c:pt>
                <c:pt idx="8">
                  <c:v>775.8</c:v>
                </c:pt>
                <c:pt idx="9">
                  <c:v>775.2</c:v>
                </c:pt>
                <c:pt idx="10">
                  <c:v>768.8</c:v>
                </c:pt>
                <c:pt idx="11">
                  <c:v>764.3</c:v>
                </c:pt>
                <c:pt idx="12">
                  <c:v>740.2</c:v>
                </c:pt>
                <c:pt idx="13">
                  <c:v>717.5</c:v>
                </c:pt>
                <c:pt idx="14">
                  <c:v>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6E-4AF6-8279-4C13DF3AE404}"/>
            </c:ext>
          </c:extLst>
        </c:ser>
        <c:ser>
          <c:idx val="1"/>
          <c:order val="2"/>
          <c:tx>
            <c:v>Power(Pre-Knock)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'PreVSPost-Bancage'!$E$4:$S$4</c:f>
              <c:numCache>
                <c:formatCode>0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'PreVSPost-Bancage'!$E$8:$S$8</c:f>
              <c:numCache>
                <c:formatCode>0.0</c:formatCode>
                <c:ptCount val="15"/>
                <c:pt idx="0">
                  <c:v>261.91786666666673</c:v>
                </c:pt>
                <c:pt idx="1">
                  <c:v>292.87826666666666</c:v>
                </c:pt>
                <c:pt idx="2">
                  <c:v>325.83780000000002</c:v>
                </c:pt>
                <c:pt idx="3">
                  <c:v>354.52954999999997</c:v>
                </c:pt>
                <c:pt idx="4">
                  <c:v>377.27100000000007</c:v>
                </c:pt>
                <c:pt idx="5">
                  <c:v>414.92745000000002</c:v>
                </c:pt>
                <c:pt idx="6">
                  <c:v>439.5215</c:v>
                </c:pt>
                <c:pt idx="7">
                  <c:v>459.07846666666666</c:v>
                </c:pt>
                <c:pt idx="8">
                  <c:v>491.66120000000001</c:v>
                </c:pt>
                <c:pt idx="9">
                  <c:v>511.03500000000008</c:v>
                </c:pt>
                <c:pt idx="10">
                  <c:v>532.76903333333348</c:v>
                </c:pt>
                <c:pt idx="11">
                  <c:v>542.30939999999998</c:v>
                </c:pt>
                <c:pt idx="12">
                  <c:v>538.43673333333345</c:v>
                </c:pt>
                <c:pt idx="13">
                  <c:v>544.91821666666669</c:v>
                </c:pt>
                <c:pt idx="14">
                  <c:v>533.80000000000007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E-4AF6-8279-4C13DF3AE404}"/>
            </c:ext>
          </c:extLst>
        </c:ser>
        <c:ser>
          <c:idx val="3"/>
          <c:order val="3"/>
          <c:tx>
            <c:v>Power(Post-Knock)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'PreVSPost-Bancage'!$E$14:$S$14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'PreVSPost-Bancage'!$E$18:$S$18</c:f>
              <c:numCache>
                <c:formatCode>0.0</c:formatCode>
                <c:ptCount val="15"/>
                <c:pt idx="0">
                  <c:v>263.34133333333335</c:v>
                </c:pt>
                <c:pt idx="1">
                  <c:v>282.82503333333335</c:v>
                </c:pt>
                <c:pt idx="2">
                  <c:v>316.2294</c:v>
                </c:pt>
                <c:pt idx="3">
                  <c:v>344.08904999999999</c:v>
                </c:pt>
                <c:pt idx="4">
                  <c:v>375.49166666666673</c:v>
                </c:pt>
                <c:pt idx="5">
                  <c:v>406.46515000000011</c:v>
                </c:pt>
                <c:pt idx="6">
                  <c:v>437.10369999999995</c:v>
                </c:pt>
                <c:pt idx="7">
                  <c:v>463.41166666666675</c:v>
                </c:pt>
                <c:pt idx="8">
                  <c:v>487.20240000000007</c:v>
                </c:pt>
                <c:pt idx="9">
                  <c:v>507.11000000000007</c:v>
                </c:pt>
                <c:pt idx="10">
                  <c:v>523.04026666666675</c:v>
                </c:pt>
                <c:pt idx="11">
                  <c:v>539.97794999999996</c:v>
                </c:pt>
                <c:pt idx="12">
                  <c:v>542.31986666666671</c:v>
                </c:pt>
                <c:pt idx="13">
                  <c:v>544.46291666666673</c:v>
                </c:pt>
                <c:pt idx="14">
                  <c:v>548.71500000000015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6E-4AF6-8279-4C13DF3AE404}"/>
            </c:ext>
          </c:extLst>
        </c:ser>
        <c:ser>
          <c:idx val="4"/>
          <c:order val="4"/>
          <c:tx>
            <c:v>bSFC(Pre-Knock)</c:v>
          </c:tx>
          <c:spPr>
            <a:ln w="19050" cap="rnd">
              <a:solidFill>
                <a:srgbClr val="92D05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92D050"/>
                </a:solidFill>
                <a:prstDash val="lgDashDot"/>
              </a:ln>
              <a:effectLst/>
            </c:spPr>
          </c:marker>
          <c:xVal>
            <c:numRef>
              <c:f>'PreVSPost-Bancage'!$E$4:$S$4</c:f>
              <c:numCache>
                <c:formatCode>0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'PreVSPost-Bancage'!$E$9:$S$9</c:f>
              <c:numCache>
                <c:formatCode>0.0</c:formatCode>
                <c:ptCount val="15"/>
                <c:pt idx="0">
                  <c:v>220.10716845586194</c:v>
                </c:pt>
                <c:pt idx="1">
                  <c:v>222.01032784041792</c:v>
                </c:pt>
                <c:pt idx="2">
                  <c:v>224.55344346174689</c:v>
                </c:pt>
                <c:pt idx="3">
                  <c:v>232.02579305448589</c:v>
                </c:pt>
                <c:pt idx="4">
                  <c:v>240.30471464809111</c:v>
                </c:pt>
                <c:pt idx="5">
                  <c:v>244.98981689449565</c:v>
                </c:pt>
                <c:pt idx="6">
                  <c:v>248.38375369578051</c:v>
                </c:pt>
                <c:pt idx="7">
                  <c:v>251.32958388958053</c:v>
                </c:pt>
                <c:pt idx="8">
                  <c:v>252.16551560302094</c:v>
                </c:pt>
                <c:pt idx="9">
                  <c:v>250.9612844521412</c:v>
                </c:pt>
                <c:pt idx="10">
                  <c:v>253.58455831172864</c:v>
                </c:pt>
                <c:pt idx="11">
                  <c:v>253.04743012014913</c:v>
                </c:pt>
                <c:pt idx="12">
                  <c:v>253.38167244904409</c:v>
                </c:pt>
                <c:pt idx="13">
                  <c:v>254.46020294238036</c:v>
                </c:pt>
                <c:pt idx="14">
                  <c:v>258.3364556013488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6E-4AF6-8279-4C13DF3AE404}"/>
            </c:ext>
          </c:extLst>
        </c:ser>
        <c:ser>
          <c:idx val="5"/>
          <c:order val="5"/>
          <c:tx>
            <c:v>bSFC(Post-Knock)</c:v>
          </c:tx>
          <c:spPr>
            <a:ln w="190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Dot"/>
              </a:ln>
              <a:effectLst/>
            </c:spPr>
          </c:marker>
          <c:xVal>
            <c:numRef>
              <c:f>'PreVSPost-Bancage'!$E$14:$S$14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'PreVSPost-Bancage'!$E$19:$S$19</c:f>
              <c:numCache>
                <c:formatCode>0.0</c:formatCode>
                <c:ptCount val="15"/>
                <c:pt idx="0">
                  <c:v>216.35798406124368</c:v>
                </c:pt>
                <c:pt idx="1">
                  <c:v>220.09013582131047</c:v>
                </c:pt>
                <c:pt idx="2">
                  <c:v>220.43174986259976</c:v>
                </c:pt>
                <c:pt idx="3">
                  <c:v>224.85167720390987</c:v>
                </c:pt>
                <c:pt idx="4">
                  <c:v>231.08102709780505</c:v>
                </c:pt>
                <c:pt idx="5">
                  <c:v>233.365640326114</c:v>
                </c:pt>
                <c:pt idx="6">
                  <c:v>233.57386359346768</c:v>
                </c:pt>
                <c:pt idx="7">
                  <c:v>235.18829550399749</c:v>
                </c:pt>
                <c:pt idx="8">
                  <c:v>232.53374778120957</c:v>
                </c:pt>
                <c:pt idx="9">
                  <c:v>234.89972589773419</c:v>
                </c:pt>
                <c:pt idx="10">
                  <c:v>237.5476763803016</c:v>
                </c:pt>
                <c:pt idx="11">
                  <c:v>239.24680628162685</c:v>
                </c:pt>
                <c:pt idx="12">
                  <c:v>242.20761228490244</c:v>
                </c:pt>
                <c:pt idx="13">
                  <c:v>242.25341334082285</c:v>
                </c:pt>
                <c:pt idx="14">
                  <c:v>245.3641690130577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6E-4AF6-8279-4C13DF3AE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52912"/>
        <c:axId val="898952080"/>
      </c:scatterChart>
      <c:valAx>
        <c:axId val="898952912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952080"/>
        <c:crosses val="autoZero"/>
        <c:crossBetween val="midCat"/>
      </c:valAx>
      <c:valAx>
        <c:axId val="8989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9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FuelConsumption_VAL21T05!$B$3:$B$15</c:f>
              <c:strCache>
                <c:ptCount val="13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  <c:pt idx="8">
                  <c:v>#9</c:v>
                </c:pt>
                <c:pt idx="9">
                  <c:v>#10</c:v>
                </c:pt>
                <c:pt idx="10">
                  <c:v>#11</c:v>
                </c:pt>
                <c:pt idx="11">
                  <c:v>#12</c:v>
                </c:pt>
                <c:pt idx="12">
                  <c:v>#13</c:v>
                </c:pt>
              </c:strCache>
            </c:strRef>
          </c:xVal>
          <c:yVal>
            <c:numRef>
              <c:f>FuelConsumption_VAL21T05!$N$3:$N$15</c:f>
              <c:numCache>
                <c:formatCode>0.0%</c:formatCode>
                <c:ptCount val="13"/>
                <c:pt idx="0">
                  <c:v>0.9535616551952899</c:v>
                </c:pt>
                <c:pt idx="1">
                  <c:v>0.96531624638280267</c:v>
                </c:pt>
                <c:pt idx="2">
                  <c:v>0.96500868721968569</c:v>
                </c:pt>
                <c:pt idx="3">
                  <c:v>0.96546197611988149</c:v>
                </c:pt>
                <c:pt idx="4">
                  <c:v>0.96991997426307952</c:v>
                </c:pt>
                <c:pt idx="5">
                  <c:v>0.96916739982404221</c:v>
                </c:pt>
                <c:pt idx="6">
                  <c:v>0.96552820961393182</c:v>
                </c:pt>
                <c:pt idx="7">
                  <c:v>0.97096474579008996</c:v>
                </c:pt>
                <c:pt idx="8">
                  <c:v>0.97221888635362863</c:v>
                </c:pt>
                <c:pt idx="9">
                  <c:v>0.9732218246150135</c:v>
                </c:pt>
                <c:pt idx="10">
                  <c:v>0.97095585289640252</c:v>
                </c:pt>
                <c:pt idx="11">
                  <c:v>0.96774581296578255</c:v>
                </c:pt>
                <c:pt idx="12">
                  <c:v>0.96864503273555369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6-43C7-9E2D-F7D78F4E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97056"/>
        <c:axId val="841400384"/>
      </c:scatterChart>
      <c:valAx>
        <c:axId val="8413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400384"/>
        <c:crosses val="autoZero"/>
        <c:crossBetween val="midCat"/>
      </c:valAx>
      <c:valAx>
        <c:axId val="841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3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VAL21T05 Engine Map spec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Run018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'20210513_PIPO_Engine5ADelivery'!$G$19:$V$19</c:f>
              <c:numCache>
                <c:formatCode>0</c:formatCode>
                <c:ptCount val="16"/>
                <c:pt idx="0" formatCode="General">
                  <c:v>3750</c:v>
                </c:pt>
                <c:pt idx="1">
                  <c:v>4000</c:v>
                </c:pt>
                <c:pt idx="2">
                  <c:v>4250</c:v>
                </c:pt>
                <c:pt idx="3">
                  <c:v>4500</c:v>
                </c:pt>
                <c:pt idx="4">
                  <c:v>4750</c:v>
                </c:pt>
                <c:pt idx="5">
                  <c:v>5000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xVal>
          <c:yVal>
            <c:numRef>
              <c:f>'20210513_PIPO_Engine5ADelivery'!$G$22:$V$22</c:f>
              <c:numCache>
                <c:formatCode>General</c:formatCode>
                <c:ptCount val="16"/>
                <c:pt idx="0">
                  <c:v>603</c:v>
                </c:pt>
                <c:pt idx="1">
                  <c:v>631.70000000000005</c:v>
                </c:pt>
                <c:pt idx="2">
                  <c:v>641.6</c:v>
                </c:pt>
                <c:pt idx="3">
                  <c:v>682.8</c:v>
                </c:pt>
                <c:pt idx="4">
                  <c:v>703.6</c:v>
                </c:pt>
                <c:pt idx="5">
                  <c:v>709.8</c:v>
                </c:pt>
                <c:pt idx="6">
                  <c:v>728.9</c:v>
                </c:pt>
                <c:pt idx="7">
                  <c:v>764.2</c:v>
                </c:pt>
                <c:pt idx="8">
                  <c:v>741.3</c:v>
                </c:pt>
                <c:pt idx="9">
                  <c:v>788.9</c:v>
                </c:pt>
                <c:pt idx="10">
                  <c:v>746.1</c:v>
                </c:pt>
                <c:pt idx="11">
                  <c:v>795.9</c:v>
                </c:pt>
                <c:pt idx="12">
                  <c:v>751.6</c:v>
                </c:pt>
                <c:pt idx="13">
                  <c:v>733</c:v>
                </c:pt>
                <c:pt idx="14">
                  <c:v>712</c:v>
                </c:pt>
                <c:pt idx="15">
                  <c:v>672.7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15-48A8-BA1E-D53E852F9C2B}"/>
            </c:ext>
          </c:extLst>
        </c:ser>
        <c:ser>
          <c:idx val="1"/>
          <c:order val="1"/>
          <c:tx>
            <c:v>Torque 520kW Run 063 old map Vallelunga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'20210513_PIPO_Engine5ADelivery'!$G$31:$V$31</c:f>
              <c:numCache>
                <c:formatCode>0</c:formatCode>
                <c:ptCount val="16"/>
                <c:pt idx="0" formatCode="General">
                  <c:v>3750</c:v>
                </c:pt>
                <c:pt idx="1">
                  <c:v>4000</c:v>
                </c:pt>
                <c:pt idx="2">
                  <c:v>4250</c:v>
                </c:pt>
                <c:pt idx="3">
                  <c:v>4500</c:v>
                </c:pt>
                <c:pt idx="4">
                  <c:v>4750</c:v>
                </c:pt>
                <c:pt idx="5">
                  <c:v>5000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xVal>
          <c:yVal>
            <c:numRef>
              <c:f>'20210513_PIPO_Engine5ADelivery'!$G$34:$V$34</c:f>
              <c:numCache>
                <c:formatCode>General</c:formatCode>
                <c:ptCount val="16"/>
                <c:pt idx="0">
                  <c:v>595.29999999999995</c:v>
                </c:pt>
                <c:pt idx="1">
                  <c:v>625.6</c:v>
                </c:pt>
                <c:pt idx="2">
                  <c:v>658.4</c:v>
                </c:pt>
                <c:pt idx="3">
                  <c:v>691.8</c:v>
                </c:pt>
                <c:pt idx="4">
                  <c:v>713.1</c:v>
                </c:pt>
                <c:pt idx="5">
                  <c:v>720.9</c:v>
                </c:pt>
                <c:pt idx="6">
                  <c:v>755.1</c:v>
                </c:pt>
                <c:pt idx="7">
                  <c:v>763.5</c:v>
                </c:pt>
                <c:pt idx="8">
                  <c:v>762.8</c:v>
                </c:pt>
                <c:pt idx="9">
                  <c:v>782.9</c:v>
                </c:pt>
                <c:pt idx="10">
                  <c:v>781.2</c:v>
                </c:pt>
                <c:pt idx="11">
                  <c:v>783.1</c:v>
                </c:pt>
                <c:pt idx="12">
                  <c:v>767.6</c:v>
                </c:pt>
                <c:pt idx="13">
                  <c:v>734.9</c:v>
                </c:pt>
                <c:pt idx="14">
                  <c:v>718.1</c:v>
                </c:pt>
                <c:pt idx="15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15-48A8-BA1E-D53E852F9C2B}"/>
            </c:ext>
          </c:extLst>
        </c:ser>
        <c:ser>
          <c:idx val="2"/>
          <c:order val="2"/>
          <c:tx>
            <c:v>Power Run018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'20210513_PIPO_Engine5ADelivery'!$G$19:$V$19</c:f>
              <c:numCache>
                <c:formatCode>0</c:formatCode>
                <c:ptCount val="16"/>
                <c:pt idx="0" formatCode="General">
                  <c:v>3750</c:v>
                </c:pt>
                <c:pt idx="1">
                  <c:v>4000</c:v>
                </c:pt>
                <c:pt idx="2">
                  <c:v>4250</c:v>
                </c:pt>
                <c:pt idx="3">
                  <c:v>4500</c:v>
                </c:pt>
                <c:pt idx="4">
                  <c:v>4750</c:v>
                </c:pt>
                <c:pt idx="5">
                  <c:v>5000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xVal>
          <c:yVal>
            <c:numRef>
              <c:f>'20210513_PIPO_Engine5ADelivery'!$G$23:$V$23</c:f>
              <c:numCache>
                <c:formatCode>0.0</c:formatCode>
                <c:ptCount val="16"/>
                <c:pt idx="0">
                  <c:v>236.67750000000001</c:v>
                </c:pt>
                <c:pt idx="1">
                  <c:v>264.47173333333336</c:v>
                </c:pt>
                <c:pt idx="2">
                  <c:v>285.4050666666667</c:v>
                </c:pt>
                <c:pt idx="3">
                  <c:v>321.59879999999993</c:v>
                </c:pt>
                <c:pt idx="4">
                  <c:v>349.80646666666667</c:v>
                </c:pt>
                <c:pt idx="5">
                  <c:v>371.46199999999999</c:v>
                </c:pt>
                <c:pt idx="6">
                  <c:v>400.53055000000001</c:v>
                </c:pt>
                <c:pt idx="7">
                  <c:v>439.92446666666672</c:v>
                </c:pt>
                <c:pt idx="8">
                  <c:v>446.13904999999994</c:v>
                </c:pt>
                <c:pt idx="9">
                  <c:v>495.42920000000009</c:v>
                </c:pt>
                <c:pt idx="10">
                  <c:v>488.07375000000008</c:v>
                </c:pt>
                <c:pt idx="11">
                  <c:v>541.47730000000001</c:v>
                </c:pt>
                <c:pt idx="12">
                  <c:v>531.00540000000001</c:v>
                </c:pt>
                <c:pt idx="13">
                  <c:v>537.04466666666667</c:v>
                </c:pt>
                <c:pt idx="14">
                  <c:v>540.28933333333339</c:v>
                </c:pt>
                <c:pt idx="15">
                  <c:v>528.06950000000006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15-48A8-BA1E-D53E852F9C2B}"/>
            </c:ext>
          </c:extLst>
        </c:ser>
        <c:ser>
          <c:idx val="3"/>
          <c:order val="3"/>
          <c:tx>
            <c:v>Power 520kW Run 063 old map Vallelunga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'20210513_PIPO_Engine5ADelivery'!$G$31:$V$31</c:f>
              <c:numCache>
                <c:formatCode>0</c:formatCode>
                <c:ptCount val="16"/>
                <c:pt idx="0" formatCode="General">
                  <c:v>3750</c:v>
                </c:pt>
                <c:pt idx="1">
                  <c:v>4000</c:v>
                </c:pt>
                <c:pt idx="2">
                  <c:v>4250</c:v>
                </c:pt>
                <c:pt idx="3">
                  <c:v>4500</c:v>
                </c:pt>
                <c:pt idx="4">
                  <c:v>4750</c:v>
                </c:pt>
                <c:pt idx="5">
                  <c:v>5000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xVal>
          <c:yVal>
            <c:numRef>
              <c:f>'20210513_PIPO_Engine5ADelivery'!$G$35:$V$35</c:f>
              <c:numCache>
                <c:formatCode>0.0</c:formatCode>
                <c:ptCount val="16"/>
                <c:pt idx="0">
                  <c:v>233.65525</c:v>
                </c:pt>
                <c:pt idx="1">
                  <c:v>261.91786666666673</c:v>
                </c:pt>
                <c:pt idx="2">
                  <c:v>292.87826666666666</c:v>
                </c:pt>
                <c:pt idx="3">
                  <c:v>325.83780000000002</c:v>
                </c:pt>
                <c:pt idx="4">
                  <c:v>354.52954999999997</c:v>
                </c:pt>
                <c:pt idx="5">
                  <c:v>377.27100000000007</c:v>
                </c:pt>
                <c:pt idx="6">
                  <c:v>414.92745000000002</c:v>
                </c:pt>
                <c:pt idx="7">
                  <c:v>439.5215</c:v>
                </c:pt>
                <c:pt idx="8">
                  <c:v>459.07846666666666</c:v>
                </c:pt>
                <c:pt idx="9">
                  <c:v>491.66120000000001</c:v>
                </c:pt>
                <c:pt idx="10">
                  <c:v>511.03500000000008</c:v>
                </c:pt>
                <c:pt idx="11">
                  <c:v>532.76903333333348</c:v>
                </c:pt>
                <c:pt idx="12">
                  <c:v>542.30939999999998</c:v>
                </c:pt>
                <c:pt idx="13">
                  <c:v>538.43673333333345</c:v>
                </c:pt>
                <c:pt idx="14">
                  <c:v>544.91821666666669</c:v>
                </c:pt>
                <c:pt idx="15">
                  <c:v>533.80000000000007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15-48A8-BA1E-D53E852F9C2B}"/>
            </c:ext>
          </c:extLst>
        </c:ser>
        <c:ser>
          <c:idx val="4"/>
          <c:order val="4"/>
          <c:tx>
            <c:v>bSFC Run018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'20210513_PIPO_Engine5ADelivery'!$G$19:$V$19</c:f>
              <c:numCache>
                <c:formatCode>0</c:formatCode>
                <c:ptCount val="16"/>
                <c:pt idx="0" formatCode="General">
                  <c:v>3750</c:v>
                </c:pt>
                <c:pt idx="1">
                  <c:v>4000</c:v>
                </c:pt>
                <c:pt idx="2">
                  <c:v>4250</c:v>
                </c:pt>
                <c:pt idx="3">
                  <c:v>4500</c:v>
                </c:pt>
                <c:pt idx="4">
                  <c:v>4750</c:v>
                </c:pt>
                <c:pt idx="5">
                  <c:v>5000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xVal>
          <c:yVal>
            <c:numRef>
              <c:f>'20210513_PIPO_Engine5ADelivery'!$G$24:$V$24</c:f>
              <c:numCache>
                <c:formatCode>0.0</c:formatCode>
                <c:ptCount val="16"/>
                <c:pt idx="0">
                  <c:v>243.53814790168056</c:v>
                </c:pt>
                <c:pt idx="1">
                  <c:v>242.52119193078224</c:v>
                </c:pt>
                <c:pt idx="2">
                  <c:v>243.09309154988136</c:v>
                </c:pt>
                <c:pt idx="3">
                  <c:v>240.20612017209024</c:v>
                </c:pt>
                <c:pt idx="4">
                  <c:v>246.62208455456417</c:v>
                </c:pt>
                <c:pt idx="5">
                  <c:v>250.4697654134205</c:v>
                </c:pt>
                <c:pt idx="6">
                  <c:v>258.98149342166283</c:v>
                </c:pt>
                <c:pt idx="7">
                  <c:v>263.11334960986483</c:v>
                </c:pt>
                <c:pt idx="8">
                  <c:v>269.46755725597211</c:v>
                </c:pt>
                <c:pt idx="9">
                  <c:v>283.30990583518286</c:v>
                </c:pt>
                <c:pt idx="10">
                  <c:v>280.94114875057301</c:v>
                </c:pt>
                <c:pt idx="11">
                  <c:v>289.44888363741194</c:v>
                </c:pt>
                <c:pt idx="12">
                  <c:v>287.94434105566535</c:v>
                </c:pt>
                <c:pt idx="13">
                  <c:v>284.52009578346679</c:v>
                </c:pt>
                <c:pt idx="14">
                  <c:v>285.2175501027844</c:v>
                </c:pt>
                <c:pt idx="15">
                  <c:v>287.67046761837219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15-48A8-BA1E-D53E852F9C2B}"/>
            </c:ext>
          </c:extLst>
        </c:ser>
        <c:ser>
          <c:idx val="5"/>
          <c:order val="5"/>
          <c:tx>
            <c:v>bSFC 520kW Run 063 old map Vallelunga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'20210513_PIPO_Engine5ADelivery'!$G$31:$V$31</c:f>
              <c:numCache>
                <c:formatCode>0</c:formatCode>
                <c:ptCount val="16"/>
                <c:pt idx="0" formatCode="General">
                  <c:v>3750</c:v>
                </c:pt>
                <c:pt idx="1">
                  <c:v>4000</c:v>
                </c:pt>
                <c:pt idx="2">
                  <c:v>4250</c:v>
                </c:pt>
                <c:pt idx="3">
                  <c:v>4500</c:v>
                </c:pt>
                <c:pt idx="4">
                  <c:v>4750</c:v>
                </c:pt>
                <c:pt idx="5">
                  <c:v>5000</c:v>
                </c:pt>
                <c:pt idx="6">
                  <c:v>5250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  <c:pt idx="12">
                  <c:v>6750</c:v>
                </c:pt>
                <c:pt idx="13">
                  <c:v>7000</c:v>
                </c:pt>
                <c:pt idx="14">
                  <c:v>7250</c:v>
                </c:pt>
                <c:pt idx="15">
                  <c:v>7500</c:v>
                </c:pt>
              </c:numCache>
            </c:numRef>
          </c:xVal>
          <c:yVal>
            <c:numRef>
              <c:f>'20210513_PIPO_Engine5ADelivery'!$G$36:$V$36</c:f>
              <c:numCache>
                <c:formatCode>0.0</c:formatCode>
                <c:ptCount val="16"/>
                <c:pt idx="0">
                  <c:v>218.95506306834537</c:v>
                </c:pt>
                <c:pt idx="1">
                  <c:v>220.10716845586194</c:v>
                </c:pt>
                <c:pt idx="2">
                  <c:v>222.01032784041792</c:v>
                </c:pt>
                <c:pt idx="3">
                  <c:v>224.55344346174689</c:v>
                </c:pt>
                <c:pt idx="4">
                  <c:v>232.02579305448589</c:v>
                </c:pt>
                <c:pt idx="5">
                  <c:v>240.30471464809111</c:v>
                </c:pt>
                <c:pt idx="6">
                  <c:v>244.98981689449565</c:v>
                </c:pt>
                <c:pt idx="7">
                  <c:v>248.38375369578051</c:v>
                </c:pt>
                <c:pt idx="8">
                  <c:v>251.32958388958053</c:v>
                </c:pt>
                <c:pt idx="9">
                  <c:v>252.16551560302094</c:v>
                </c:pt>
                <c:pt idx="10">
                  <c:v>250.9612844521412</c:v>
                </c:pt>
                <c:pt idx="11">
                  <c:v>253.58455831172864</c:v>
                </c:pt>
                <c:pt idx="12">
                  <c:v>253.04743012014913</c:v>
                </c:pt>
                <c:pt idx="13">
                  <c:v>253.38167244904409</c:v>
                </c:pt>
                <c:pt idx="14">
                  <c:v>254.46020294238036</c:v>
                </c:pt>
                <c:pt idx="15">
                  <c:v>258.3364556013488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15-48A8-BA1E-D53E852F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15343"/>
        <c:axId val="1723203695"/>
      </c:scatterChart>
      <c:valAx>
        <c:axId val="1723215343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203695"/>
        <c:crosses val="autoZero"/>
        <c:crossBetween val="midCat"/>
      </c:valAx>
      <c:valAx>
        <c:axId val="17232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21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VAL21T05 Engine Map spec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Run048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'20210513_PIPO_Engine5ADelivery'!$AE$42:$AS$42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'20210513_PIPO_Engine5ADelivery'!$AE$45:$AS$45</c:f>
              <c:numCache>
                <c:formatCode>0.0</c:formatCode>
                <c:ptCount val="15"/>
                <c:pt idx="0">
                  <c:v>620.6</c:v>
                </c:pt>
                <c:pt idx="1">
                  <c:v>632.1</c:v>
                </c:pt>
                <c:pt idx="2">
                  <c:v>663.45</c:v>
                </c:pt>
                <c:pt idx="3">
                  <c:v>686.7</c:v>
                </c:pt>
                <c:pt idx="4">
                  <c:v>716.6</c:v>
                </c:pt>
                <c:pt idx="5">
                  <c:v>739.2</c:v>
                </c:pt>
                <c:pt idx="6">
                  <c:v>757.4</c:v>
                </c:pt>
                <c:pt idx="7">
                  <c:v>767.95</c:v>
                </c:pt>
                <c:pt idx="8">
                  <c:v>779.5</c:v>
                </c:pt>
                <c:pt idx="9">
                  <c:v>776.3</c:v>
                </c:pt>
                <c:pt idx="10">
                  <c:v>771</c:v>
                </c:pt>
                <c:pt idx="11">
                  <c:v>763.3</c:v>
                </c:pt>
                <c:pt idx="12">
                  <c:v>738.4</c:v>
                </c:pt>
                <c:pt idx="13">
                  <c:v>716.8</c:v>
                </c:pt>
                <c:pt idx="14">
                  <c:v>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9-4307-A4C5-97958E48DB78}"/>
            </c:ext>
          </c:extLst>
        </c:ser>
        <c:ser>
          <c:idx val="1"/>
          <c:order val="1"/>
          <c:tx>
            <c:v>Torque 520kW Partial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'20210513_PIPO_Engine5ADelivery'!$AA$31:$AS$31</c:f>
              <c:numCache>
                <c:formatCode>General</c:formatCode>
                <c:ptCount val="19"/>
                <c:pt idx="0">
                  <c:v>3000</c:v>
                </c:pt>
                <c:pt idx="1">
                  <c:v>3250</c:v>
                </c:pt>
                <c:pt idx="2">
                  <c:v>3500</c:v>
                </c:pt>
                <c:pt idx="3">
                  <c:v>3750</c:v>
                </c:pt>
                <c:pt idx="4">
                  <c:v>4000</c:v>
                </c:pt>
                <c:pt idx="5">
                  <c:v>4250</c:v>
                </c:pt>
                <c:pt idx="6">
                  <c:v>4500</c:v>
                </c:pt>
                <c:pt idx="7">
                  <c:v>4750</c:v>
                </c:pt>
                <c:pt idx="8">
                  <c:v>5000</c:v>
                </c:pt>
                <c:pt idx="9">
                  <c:v>5250</c:v>
                </c:pt>
                <c:pt idx="10">
                  <c:v>5500</c:v>
                </c:pt>
                <c:pt idx="11">
                  <c:v>5750</c:v>
                </c:pt>
                <c:pt idx="12">
                  <c:v>6000</c:v>
                </c:pt>
                <c:pt idx="13">
                  <c:v>6250</c:v>
                </c:pt>
                <c:pt idx="14">
                  <c:v>6500</c:v>
                </c:pt>
                <c:pt idx="15">
                  <c:v>6750</c:v>
                </c:pt>
                <c:pt idx="16">
                  <c:v>7000</c:v>
                </c:pt>
                <c:pt idx="17">
                  <c:v>7250</c:v>
                </c:pt>
                <c:pt idx="18">
                  <c:v>7500</c:v>
                </c:pt>
              </c:numCache>
            </c:numRef>
          </c:xVal>
          <c:yVal>
            <c:numRef>
              <c:f>'20210513_PIPO_Engine5ADelivery'!$AA$34:$AS$34</c:f>
              <c:numCache>
                <c:formatCode>0.0</c:formatCode>
                <c:ptCount val="19"/>
                <c:pt idx="0">
                  <c:v>531.79999999999995</c:v>
                </c:pt>
                <c:pt idx="1">
                  <c:v>538.6</c:v>
                </c:pt>
                <c:pt idx="2">
                  <c:v>552.20000000000005</c:v>
                </c:pt>
                <c:pt idx="3">
                  <c:v>588.5</c:v>
                </c:pt>
                <c:pt idx="4">
                  <c:v>629</c:v>
                </c:pt>
                <c:pt idx="5">
                  <c:v>635.79999999999995</c:v>
                </c:pt>
                <c:pt idx="6">
                  <c:v>671.4</c:v>
                </c:pt>
                <c:pt idx="7">
                  <c:v>692.1</c:v>
                </c:pt>
                <c:pt idx="8">
                  <c:v>717.5</c:v>
                </c:pt>
                <c:pt idx="9">
                  <c:v>739.7</c:v>
                </c:pt>
                <c:pt idx="10">
                  <c:v>759.3</c:v>
                </c:pt>
                <c:pt idx="11">
                  <c:v>770</c:v>
                </c:pt>
                <c:pt idx="12">
                  <c:v>775.8</c:v>
                </c:pt>
                <c:pt idx="13">
                  <c:v>775.2</c:v>
                </c:pt>
                <c:pt idx="14">
                  <c:v>768.8</c:v>
                </c:pt>
                <c:pt idx="15">
                  <c:v>764.3</c:v>
                </c:pt>
                <c:pt idx="16">
                  <c:v>740.2</c:v>
                </c:pt>
                <c:pt idx="17">
                  <c:v>717.5</c:v>
                </c:pt>
                <c:pt idx="18">
                  <c:v>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9-4307-A4C5-97958E48DB78}"/>
            </c:ext>
          </c:extLst>
        </c:ser>
        <c:ser>
          <c:idx val="2"/>
          <c:order val="2"/>
          <c:tx>
            <c:v>Power Run048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'20210513_PIPO_Engine5ADelivery'!$AE$42:$AS$42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'20210513_PIPO_Engine5ADelivery'!$AE$46:$AS$46</c:f>
              <c:numCache>
                <c:formatCode>0.0</c:formatCode>
                <c:ptCount val="15"/>
                <c:pt idx="0">
                  <c:v>259.82453333333336</c:v>
                </c:pt>
                <c:pt idx="1">
                  <c:v>281.17915000000005</c:v>
                </c:pt>
                <c:pt idx="2">
                  <c:v>312.48495000000003</c:v>
                </c:pt>
                <c:pt idx="3">
                  <c:v>341.40435000000002</c:v>
                </c:pt>
                <c:pt idx="4">
                  <c:v>375.02066666666673</c:v>
                </c:pt>
                <c:pt idx="5">
                  <c:v>406.19040000000007</c:v>
                </c:pt>
                <c:pt idx="6">
                  <c:v>436.00993333333332</c:v>
                </c:pt>
                <c:pt idx="7">
                  <c:v>462.17790833333339</c:v>
                </c:pt>
                <c:pt idx="8">
                  <c:v>489.52600000000001</c:v>
                </c:pt>
                <c:pt idx="9">
                  <c:v>507.82958333333329</c:v>
                </c:pt>
                <c:pt idx="10">
                  <c:v>524.53700000000003</c:v>
                </c:pt>
                <c:pt idx="11">
                  <c:v>539.27145000000007</c:v>
                </c:pt>
                <c:pt idx="12">
                  <c:v>541.0010666666667</c:v>
                </c:pt>
                <c:pt idx="13">
                  <c:v>543.93173333333323</c:v>
                </c:pt>
                <c:pt idx="14">
                  <c:v>548.71500000000015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9-4307-A4C5-97958E48DB78}"/>
            </c:ext>
          </c:extLst>
        </c:ser>
        <c:ser>
          <c:idx val="3"/>
          <c:order val="3"/>
          <c:tx>
            <c:v>Power 520kW Partial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'20210513_PIPO_Engine5ADelivery'!$AA$31:$AS$31</c:f>
              <c:numCache>
                <c:formatCode>General</c:formatCode>
                <c:ptCount val="19"/>
                <c:pt idx="0">
                  <c:v>3000</c:v>
                </c:pt>
                <c:pt idx="1">
                  <c:v>3250</c:v>
                </c:pt>
                <c:pt idx="2">
                  <c:v>3500</c:v>
                </c:pt>
                <c:pt idx="3">
                  <c:v>3750</c:v>
                </c:pt>
                <c:pt idx="4">
                  <c:v>4000</c:v>
                </c:pt>
                <c:pt idx="5">
                  <c:v>4250</c:v>
                </c:pt>
                <c:pt idx="6">
                  <c:v>4500</c:v>
                </c:pt>
                <c:pt idx="7">
                  <c:v>4750</c:v>
                </c:pt>
                <c:pt idx="8">
                  <c:v>5000</c:v>
                </c:pt>
                <c:pt idx="9">
                  <c:v>5250</c:v>
                </c:pt>
                <c:pt idx="10">
                  <c:v>5500</c:v>
                </c:pt>
                <c:pt idx="11">
                  <c:v>5750</c:v>
                </c:pt>
                <c:pt idx="12">
                  <c:v>6000</c:v>
                </c:pt>
                <c:pt idx="13">
                  <c:v>6250</c:v>
                </c:pt>
                <c:pt idx="14">
                  <c:v>6500</c:v>
                </c:pt>
                <c:pt idx="15">
                  <c:v>6750</c:v>
                </c:pt>
                <c:pt idx="16">
                  <c:v>7000</c:v>
                </c:pt>
                <c:pt idx="17">
                  <c:v>7250</c:v>
                </c:pt>
                <c:pt idx="18">
                  <c:v>7500</c:v>
                </c:pt>
              </c:numCache>
            </c:numRef>
          </c:xVal>
          <c:yVal>
            <c:numRef>
              <c:f>'20210513_PIPO_Engine5ADelivery'!$AA$35:$AS$35</c:f>
              <c:numCache>
                <c:formatCode>0.0</c:formatCode>
                <c:ptCount val="19"/>
                <c:pt idx="0">
                  <c:v>166.98520000000002</c:v>
                </c:pt>
                <c:pt idx="1">
                  <c:v>183.21376666666669</c:v>
                </c:pt>
                <c:pt idx="2">
                  <c:v>202.28926666666666</c:v>
                </c:pt>
                <c:pt idx="3">
                  <c:v>230.98625000000001</c:v>
                </c:pt>
                <c:pt idx="4">
                  <c:v>263.34133333333335</c:v>
                </c:pt>
                <c:pt idx="5">
                  <c:v>282.82503333333335</c:v>
                </c:pt>
                <c:pt idx="6">
                  <c:v>316.2294</c:v>
                </c:pt>
                <c:pt idx="7">
                  <c:v>344.08904999999999</c:v>
                </c:pt>
                <c:pt idx="8">
                  <c:v>375.49166666666673</c:v>
                </c:pt>
                <c:pt idx="9">
                  <c:v>406.46515000000011</c:v>
                </c:pt>
                <c:pt idx="10">
                  <c:v>437.10369999999995</c:v>
                </c:pt>
                <c:pt idx="11">
                  <c:v>463.41166666666675</c:v>
                </c:pt>
                <c:pt idx="12">
                  <c:v>487.20240000000007</c:v>
                </c:pt>
                <c:pt idx="13">
                  <c:v>507.11000000000007</c:v>
                </c:pt>
                <c:pt idx="14">
                  <c:v>523.04026666666675</c:v>
                </c:pt>
                <c:pt idx="15">
                  <c:v>539.97794999999996</c:v>
                </c:pt>
                <c:pt idx="16">
                  <c:v>542.31986666666671</c:v>
                </c:pt>
                <c:pt idx="17">
                  <c:v>544.46291666666673</c:v>
                </c:pt>
                <c:pt idx="18">
                  <c:v>548.71500000000015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F9-4307-A4C5-97958E48DB78}"/>
            </c:ext>
          </c:extLst>
        </c:ser>
        <c:ser>
          <c:idx val="4"/>
          <c:order val="4"/>
          <c:tx>
            <c:v>bSFC Run048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'20210513_PIPO_Engine5ADelivery'!$AE$42:$AS$42</c:f>
              <c:numCache>
                <c:formatCode>General</c:formatCode>
                <c:ptCount val="15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</c:numCache>
            </c:numRef>
          </c:xVal>
          <c:yVal>
            <c:numRef>
              <c:f>'20210513_PIPO_Engine5ADelivery'!$AE$47:$AS$47</c:f>
              <c:numCache>
                <c:formatCode>0.0</c:formatCode>
                <c:ptCount val="15"/>
                <c:pt idx="0">
                  <c:v>223.30069934376223</c:v>
                </c:pt>
                <c:pt idx="1">
                  <c:v>227.39950668461722</c:v>
                </c:pt>
                <c:pt idx="2">
                  <c:v>223.19154890499524</c:v>
                </c:pt>
                <c:pt idx="3">
                  <c:v>231.71936737185683</c:v>
                </c:pt>
                <c:pt idx="4">
                  <c:v>236.86427947970864</c:v>
                </c:pt>
                <c:pt idx="5">
                  <c:v>240.92149888328228</c:v>
                </c:pt>
                <c:pt idx="6">
                  <c:v>241.95779025829535</c:v>
                </c:pt>
                <c:pt idx="7">
                  <c:v>241.23610841128294</c:v>
                </c:pt>
                <c:pt idx="8">
                  <c:v>243.16992355870781</c:v>
                </c:pt>
                <c:pt idx="9">
                  <c:v>242.75269508882164</c:v>
                </c:pt>
                <c:pt idx="10">
                  <c:v>244.99320352997026</c:v>
                </c:pt>
                <c:pt idx="11">
                  <c:v>245.74822197614947</c:v>
                </c:pt>
                <c:pt idx="12">
                  <c:v>248.1880503994077</c:v>
                </c:pt>
                <c:pt idx="13">
                  <c:v>247.65975534184687</c:v>
                </c:pt>
                <c:pt idx="14">
                  <c:v>250.49433676863211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F9-4307-A4C5-97958E48DB78}"/>
            </c:ext>
          </c:extLst>
        </c:ser>
        <c:ser>
          <c:idx val="5"/>
          <c:order val="5"/>
          <c:tx>
            <c:v>bSFC 520kW Partial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'20210513_PIPO_Engine5ADelivery'!$AA$31:$AS$31</c:f>
              <c:numCache>
                <c:formatCode>General</c:formatCode>
                <c:ptCount val="19"/>
                <c:pt idx="0">
                  <c:v>3000</c:v>
                </c:pt>
                <c:pt idx="1">
                  <c:v>3250</c:v>
                </c:pt>
                <c:pt idx="2">
                  <c:v>3500</c:v>
                </c:pt>
                <c:pt idx="3">
                  <c:v>3750</c:v>
                </c:pt>
                <c:pt idx="4">
                  <c:v>4000</c:v>
                </c:pt>
                <c:pt idx="5">
                  <c:v>4250</c:v>
                </c:pt>
                <c:pt idx="6">
                  <c:v>4500</c:v>
                </c:pt>
                <c:pt idx="7">
                  <c:v>4750</c:v>
                </c:pt>
                <c:pt idx="8">
                  <c:v>5000</c:v>
                </c:pt>
                <c:pt idx="9">
                  <c:v>5250</c:v>
                </c:pt>
                <c:pt idx="10">
                  <c:v>5500</c:v>
                </c:pt>
                <c:pt idx="11">
                  <c:v>5750</c:v>
                </c:pt>
                <c:pt idx="12">
                  <c:v>6000</c:v>
                </c:pt>
                <c:pt idx="13">
                  <c:v>6250</c:v>
                </c:pt>
                <c:pt idx="14">
                  <c:v>6500</c:v>
                </c:pt>
                <c:pt idx="15">
                  <c:v>6750</c:v>
                </c:pt>
                <c:pt idx="16">
                  <c:v>7000</c:v>
                </c:pt>
                <c:pt idx="17">
                  <c:v>7250</c:v>
                </c:pt>
                <c:pt idx="18">
                  <c:v>7500</c:v>
                </c:pt>
              </c:numCache>
            </c:numRef>
          </c:xVal>
          <c:yVal>
            <c:numRef>
              <c:f>'20210513_PIPO_Engine5ADelivery'!$AA$36:$AS$36</c:f>
              <c:numCache>
                <c:formatCode>0.0</c:formatCode>
                <c:ptCount val="19"/>
                <c:pt idx="0">
                  <c:v>222.25921818221013</c:v>
                </c:pt>
                <c:pt idx="1">
                  <c:v>218.60256862066223</c:v>
                </c:pt>
                <c:pt idx="2">
                  <c:v>217.51030455067809</c:v>
                </c:pt>
                <c:pt idx="3">
                  <c:v>216.49773525480413</c:v>
                </c:pt>
                <c:pt idx="4">
                  <c:v>216.35798406124368</c:v>
                </c:pt>
                <c:pt idx="5">
                  <c:v>220.09013582131047</c:v>
                </c:pt>
                <c:pt idx="6">
                  <c:v>220.43174986259976</c:v>
                </c:pt>
                <c:pt idx="7">
                  <c:v>224.85167720390987</c:v>
                </c:pt>
                <c:pt idx="8">
                  <c:v>231.08102709780505</c:v>
                </c:pt>
                <c:pt idx="9">
                  <c:v>233.365640326114</c:v>
                </c:pt>
                <c:pt idx="10">
                  <c:v>233.57386359346768</c:v>
                </c:pt>
                <c:pt idx="11">
                  <c:v>235.18829550399749</c:v>
                </c:pt>
                <c:pt idx="12">
                  <c:v>232.53374778120957</c:v>
                </c:pt>
                <c:pt idx="13">
                  <c:v>234.89972589773419</c:v>
                </c:pt>
                <c:pt idx="14">
                  <c:v>237.5476763803016</c:v>
                </c:pt>
                <c:pt idx="15">
                  <c:v>239.24680628162685</c:v>
                </c:pt>
                <c:pt idx="16">
                  <c:v>242.20761228490244</c:v>
                </c:pt>
                <c:pt idx="17">
                  <c:v>242.25341334082285</c:v>
                </c:pt>
                <c:pt idx="18">
                  <c:v>245.3641690130577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F9-4307-A4C5-97958E48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15343"/>
        <c:axId val="1723203695"/>
      </c:scatterChart>
      <c:valAx>
        <c:axId val="1723215343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203695"/>
        <c:crosses val="autoZero"/>
        <c:crossBetween val="midCat"/>
      </c:valAx>
      <c:valAx>
        <c:axId val="17232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21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4.xml"/><Relationship Id="rId7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1857371</xdr:colOff>
      <xdr:row>28</xdr:row>
      <xdr:rowOff>70755</xdr:rowOff>
    </xdr:from>
    <xdr:to>
      <xdr:col>15</xdr:col>
      <xdr:colOff>455836</xdr:colOff>
      <xdr:row>56</xdr:row>
      <xdr:rowOff>68034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CFE78-988A-4154-A652-F93EC4AC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17051</xdr:colOff>
      <xdr:row>46</xdr:row>
      <xdr:rowOff>10406</xdr:rowOff>
    </xdr:from>
    <xdr:to>
      <xdr:col>33</xdr:col>
      <xdr:colOff>760075</xdr:colOff>
      <xdr:row>69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4011B-A186-4DF2-9F9D-6D9AFD156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23666</xdr:colOff>
      <xdr:row>46</xdr:row>
      <xdr:rowOff>13606</xdr:rowOff>
    </xdr:from>
    <xdr:to>
      <xdr:col>45</xdr:col>
      <xdr:colOff>40821</xdr:colOff>
      <xdr:row>69</xdr:row>
      <xdr:rowOff>81035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137ACA-5026-4F2F-8B72-A039A71E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146132</xdr:colOff>
      <xdr:row>81</xdr:row>
      <xdr:rowOff>99617</xdr:rowOff>
    </xdr:from>
    <xdr:to>
      <xdr:col>22</xdr:col>
      <xdr:colOff>453864</xdr:colOff>
      <xdr:row>126</xdr:row>
      <xdr:rowOff>124940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574362-1EBE-48F1-A7BB-0651E160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203095</xdr:colOff>
      <xdr:row>3</xdr:row>
      <xdr:rowOff>108858</xdr:rowOff>
    </xdr:from>
    <xdr:to>
      <xdr:col>22</xdr:col>
      <xdr:colOff>385897</xdr:colOff>
      <xdr:row>16</xdr:row>
      <xdr:rowOff>106028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AE3B9F94-72A5-49DD-894F-56C54256E191}"/>
            </a:ext>
          </a:extLst>
        </xdr:cNvPr>
        <xdr:cNvGrpSpPr/>
      </xdr:nvGrpSpPr>
      <xdr:grpSpPr>
        <a:xfrm>
          <a:off x="17415330" y="691564"/>
          <a:ext cx="5696096" cy="2563317"/>
          <a:chOff x="17415330" y="691564"/>
          <a:chExt cx="5696096" cy="2518493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7FF2091-4C5D-4B08-9842-DF148FFFC4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415330" y="1200903"/>
            <a:ext cx="2708735" cy="200915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3A27AF88-55CC-46CF-ACEB-2BB7CE692591}"/>
              </a:ext>
            </a:extLst>
          </xdr:cNvPr>
          <xdr:cNvSpPr txBox="1"/>
        </xdr:nvSpPr>
        <xdr:spPr>
          <a:xfrm>
            <a:off x="18446523" y="691564"/>
            <a:ext cx="2859404" cy="371355"/>
          </a:xfrm>
          <a:prstGeom prst="rect">
            <a:avLst/>
          </a:prstGeom>
          <a:solidFill>
            <a:srgbClr val="FFC0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t-IT" sz="1800" b="1"/>
              <a:t>VAL21T05</a:t>
            </a:r>
            <a:r>
              <a:rPr lang="it-IT" sz="1800" b="1" baseline="0"/>
              <a:t> Map (Track data)</a:t>
            </a:r>
            <a:endParaRPr lang="it-IT" sz="1800" b="1"/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23BB24B4-7256-48B2-B8FC-29A1DF2AF7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0170936" y="1207322"/>
            <a:ext cx="2940490" cy="1990382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181841</xdr:colOff>
      <xdr:row>18</xdr:row>
      <xdr:rowOff>108095</xdr:rowOff>
    </xdr:from>
    <xdr:to>
      <xdr:col>22</xdr:col>
      <xdr:colOff>365609</xdr:colOff>
      <xdr:row>31</xdr:row>
      <xdr:rowOff>47625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B8328DA-E227-49FD-8406-57A9F2BC868A}"/>
            </a:ext>
          </a:extLst>
        </xdr:cNvPr>
        <xdr:cNvGrpSpPr/>
      </xdr:nvGrpSpPr>
      <xdr:grpSpPr>
        <a:xfrm>
          <a:off x="17394076" y="3637948"/>
          <a:ext cx="5697062" cy="2427236"/>
          <a:chOff x="17394076" y="3593124"/>
          <a:chExt cx="5697062" cy="2427236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A39CD7B-11BC-4134-9270-F18C4C90732D}"/>
              </a:ext>
            </a:extLst>
          </xdr:cNvPr>
          <xdr:cNvSpPr txBox="1"/>
        </xdr:nvSpPr>
        <xdr:spPr>
          <a:xfrm>
            <a:off x="18436953" y="3593124"/>
            <a:ext cx="3531665" cy="371355"/>
          </a:xfrm>
          <a:prstGeom prst="rect">
            <a:avLst/>
          </a:prstGeom>
          <a:solidFill>
            <a:srgbClr val="FFC0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t-IT" sz="1800" b="1"/>
              <a:t>VAL21T05</a:t>
            </a:r>
            <a:r>
              <a:rPr lang="it-IT" sz="1800" b="1" baseline="0"/>
              <a:t> Map (</a:t>
            </a:r>
            <a:r>
              <a:rPr lang="it-IT" sz="1800" b="1" baseline="0">
                <a:solidFill>
                  <a:srgbClr val="FF0000"/>
                </a:solidFill>
              </a:rPr>
              <a:t>Dyno</a:t>
            </a:r>
            <a:r>
              <a:rPr lang="it-IT" sz="1800" b="1" baseline="0"/>
              <a:t> data </a:t>
            </a:r>
            <a:r>
              <a:rPr lang="it-IT" sz="1800" b="1" baseline="0">
                <a:solidFill>
                  <a:srgbClr val="FF0000"/>
                </a:solidFill>
              </a:rPr>
              <a:t>run063</a:t>
            </a:r>
            <a:r>
              <a:rPr lang="it-IT" sz="1800" b="1" baseline="0">
                <a:solidFill>
                  <a:sysClr val="windowText" lastClr="000000"/>
                </a:solidFill>
              </a:rPr>
              <a:t>)</a:t>
            </a:r>
            <a:endParaRPr lang="it-IT" sz="1800" b="1">
              <a:solidFill>
                <a:srgbClr val="FF0000"/>
              </a:solidFill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1264208D-8F68-4881-B380-94357F486F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7394076" y="3994663"/>
            <a:ext cx="2715240" cy="2025697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675A687A-EF9E-460B-AF51-3A0E6C1BD5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0148176" y="4000499"/>
            <a:ext cx="2942962" cy="2017060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13608</xdr:colOff>
      <xdr:row>16</xdr:row>
      <xdr:rowOff>81644</xdr:rowOff>
    </xdr:from>
    <xdr:to>
      <xdr:col>38</xdr:col>
      <xdr:colOff>244929</xdr:colOff>
      <xdr:row>31</xdr:row>
      <xdr:rowOff>136071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362B943E-EA45-4739-B8D3-C6ADCDBFCD91}"/>
            </a:ext>
          </a:extLst>
        </xdr:cNvPr>
        <xdr:cNvGrpSpPr/>
      </xdr:nvGrpSpPr>
      <xdr:grpSpPr>
        <a:xfrm>
          <a:off x="30045373" y="3230497"/>
          <a:ext cx="7178968" cy="2923133"/>
          <a:chOff x="30003751" y="3252108"/>
          <a:chExt cx="7130142" cy="2925534"/>
        </a:xfrm>
      </xdr:grpSpPr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B51C5B2B-FB8B-4DD9-8673-A40975C0F5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0003751" y="3614907"/>
            <a:ext cx="3388177" cy="2559547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4BEE34E5-9AE8-4AFE-94FD-D4B07615CD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33419144" y="3605893"/>
            <a:ext cx="3714749" cy="2571749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2ADE76A5-F648-4E7E-AC22-8DB0524F6840}"/>
              </a:ext>
            </a:extLst>
          </xdr:cNvPr>
          <xdr:cNvSpPr txBox="1"/>
        </xdr:nvSpPr>
        <xdr:spPr>
          <a:xfrm>
            <a:off x="31486929" y="3252108"/>
            <a:ext cx="3592286" cy="371722"/>
          </a:xfrm>
          <a:prstGeom prst="rect">
            <a:avLst/>
          </a:prstGeom>
          <a:solidFill>
            <a:srgbClr val="FFC0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it-IT" sz="1800" b="1" baseline="0"/>
              <a:t>PostKnock Map (</a:t>
            </a:r>
            <a:r>
              <a:rPr lang="it-IT" sz="1800" b="1" baseline="0">
                <a:solidFill>
                  <a:srgbClr val="FF0000"/>
                </a:solidFill>
              </a:rPr>
              <a:t>Dyno</a:t>
            </a:r>
            <a:r>
              <a:rPr lang="it-IT" sz="1800" b="1" baseline="0"/>
              <a:t> data </a:t>
            </a:r>
            <a:r>
              <a:rPr lang="it-IT" sz="1800" b="1" baseline="0">
                <a:solidFill>
                  <a:srgbClr val="FF0000"/>
                </a:solidFill>
              </a:rPr>
              <a:t>run060</a:t>
            </a:r>
            <a:r>
              <a:rPr lang="it-IT" sz="1800" b="1" baseline="0"/>
              <a:t>)</a:t>
            </a:r>
            <a:endParaRPr lang="it-IT" sz="18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39220</xdr:colOff>
      <xdr:row>1</xdr:row>
      <xdr:rowOff>23531</xdr:rowOff>
    </xdr:from>
    <xdr:to>
      <xdr:col>37</xdr:col>
      <xdr:colOff>526677</xdr:colOff>
      <xdr:row>31</xdr:row>
      <xdr:rowOff>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E0FB4-CE35-4566-AE49-04136A434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27213</xdr:colOff>
      <xdr:row>1</xdr:row>
      <xdr:rowOff>32248</xdr:rowOff>
    </xdr:from>
    <xdr:to>
      <xdr:col>18</xdr:col>
      <xdr:colOff>95250</xdr:colOff>
      <xdr:row>15</xdr:row>
      <xdr:rowOff>163717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09FE75-F8DD-48D2-B92C-346ACD32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1284" y="222748"/>
          <a:ext cx="4626430" cy="2975362"/>
        </a:xfrm>
        <a:prstGeom prst="rect">
          <a:avLst/>
        </a:prstGeom>
      </xdr:spPr>
    </xdr:pic>
    <xdr:clientData/>
  </xdr:twoCellAnchor>
  <xdr:twoCellAnchor editAs="oneCell">
    <xdr:from>
      <xdr:col>13</xdr:col>
      <xdr:colOff>27216</xdr:colOff>
      <xdr:row>16</xdr:row>
      <xdr:rowOff>10461</xdr:rowOff>
    </xdr:from>
    <xdr:to>
      <xdr:col>18</xdr:col>
      <xdr:colOff>108857</xdr:colOff>
      <xdr:row>32</xdr:row>
      <xdr:rowOff>146729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91B02-F242-49E2-9E4B-2F047E1D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8591" y="3210861"/>
          <a:ext cx="4634591" cy="3244780"/>
        </a:xfrm>
        <a:prstGeom prst="rect">
          <a:avLst/>
        </a:prstGeom>
      </xdr:spPr>
    </xdr:pic>
    <xdr:clientData/>
  </xdr:twoCellAnchor>
  <xdr:twoCellAnchor editAs="oneCell">
    <xdr:from>
      <xdr:col>13</xdr:col>
      <xdr:colOff>2399</xdr:colOff>
      <xdr:row>33</xdr:row>
      <xdr:rowOff>44822</xdr:rowOff>
    </xdr:from>
    <xdr:to>
      <xdr:col>18</xdr:col>
      <xdr:colOff>98577</xdr:colOff>
      <xdr:row>43</xdr:row>
      <xdr:rowOff>180263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39F9A5-5C8A-4342-9E6C-C32D28B5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20840" y="6544234"/>
          <a:ext cx="4656972" cy="31834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314326</xdr:colOff>
      <xdr:row>0</xdr:row>
      <xdr:rowOff>40823</xdr:rowOff>
    </xdr:from>
    <xdr:to>
      <xdr:col>28</xdr:col>
      <xdr:colOff>6805</xdr:colOff>
      <xdr:row>15</xdr:row>
      <xdr:rowOff>40823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56E96-DC31-4389-87C3-69C2B9BC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36</xdr:row>
      <xdr:rowOff>153122</xdr:rowOff>
    </xdr:from>
    <xdr:to>
      <xdr:col>16</xdr:col>
      <xdr:colOff>353785</xdr:colOff>
      <xdr:row>76</xdr:row>
      <xdr:rowOff>179317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B6DA6-7D2D-45D9-B5D8-53B7ED22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9525</xdr:colOff>
      <xdr:row>9</xdr:row>
      <xdr:rowOff>166688</xdr:rowOff>
    </xdr:from>
    <xdr:to>
      <xdr:col>75</xdr:col>
      <xdr:colOff>446316</xdr:colOff>
      <xdr:row>65</xdr:row>
      <xdr:rowOff>177277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F7A35-D46D-4725-BBAC-B7141CB23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../../TestData/20210513_PIPO_Engine5ADelivery" TargetMode="External"/><Relationship Id="rId3" Type="http://schemas.openxmlformats.org/officeDocument/2006/relationships/hyperlink" Target="../../../TestData/20210513_PIPO_Engine5ADelivery" TargetMode="External"/><Relationship Id="rId7" Type="http://schemas.openxmlformats.org/officeDocument/2006/relationships/hyperlink" Target="../../../TestData/20210510_PIPO_KnockControl" TargetMode="External"/><Relationship Id="rId2" Type="http://schemas.openxmlformats.org/officeDocument/2006/relationships/hyperlink" Target="../../../TestData/20210510_PIPO_KnockControl" TargetMode="External"/><Relationship Id="rId1" Type="http://schemas.openxmlformats.org/officeDocument/2006/relationships/hyperlink" Target="../../../TestData/20210513_PIPO_Engine5ADelivery" TargetMode="External"/><Relationship Id="rId6" Type="http://schemas.openxmlformats.org/officeDocument/2006/relationships/hyperlink" Target="../../../TestData/20210513_PIPO_Engine5ADelivery" TargetMode="External"/><Relationship Id="rId11" Type="http://schemas.openxmlformats.org/officeDocument/2006/relationships/drawing" Target="../drawings/drawing6.xml"/><Relationship Id="rId5" Type="http://schemas.openxmlformats.org/officeDocument/2006/relationships/hyperlink" Target="../../../TestData/20210513_PIPO_Engine5ADelivery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../../../TestData/20210513_PIPO_Engine5ADelivery" TargetMode="External"/><Relationship Id="rId9" Type="http://schemas.openxmlformats.org/officeDocument/2006/relationships/hyperlink" Target="../../../TestData/20210513_PIPO_Engine5ADeliv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5A5-CF09-4020-8943-AE65E8EA2BC6}">
  <dimension ref="B2:AJ78"/>
  <sheetViews>
    <sheetView showGridLines="0" zoomScale="70" zoomScaleNormal="70" workbookViewId="0">
      <selection activeCell="B60" sqref="B60:J78"/>
    </sheetView>
  </sheetViews>
  <sheetFormatPr defaultRowHeight="15" x14ac:dyDescent="0.25"/>
  <cols>
    <col min="1" max="1" width="3.7109375" customWidth="1"/>
    <col min="2" max="2" width="28.140625" customWidth="1"/>
    <col min="3" max="3" width="11.85546875" customWidth="1"/>
    <col min="4" max="4" width="16.85546875" bestFit="1" customWidth="1"/>
    <col min="5" max="17" width="9.5703125" bestFit="1" customWidth="1"/>
    <col min="20" max="20" width="28.140625" customWidth="1"/>
    <col min="21" max="21" width="9.5703125" bestFit="1" customWidth="1"/>
    <col min="22" max="22" width="11" bestFit="1" customWidth="1"/>
    <col min="23" max="35" width="9.5703125" bestFit="1" customWidth="1"/>
  </cols>
  <sheetData>
    <row r="2" spans="2:36" x14ac:dyDescent="0.25">
      <c r="B2" s="315" t="s">
        <v>161</v>
      </c>
      <c r="C2" s="320">
        <f>520/0.95</f>
        <v>547.36842105263156</v>
      </c>
      <c r="D2" s="316" t="s">
        <v>162</v>
      </c>
    </row>
    <row r="3" spans="2:36" x14ac:dyDescent="0.25">
      <c r="B3" s="315" t="s">
        <v>163</v>
      </c>
      <c r="C3" s="72">
        <v>800</v>
      </c>
      <c r="D3" s="45" t="s">
        <v>164</v>
      </c>
    </row>
    <row r="4" spans="2:36" ht="15.75" thickBot="1" x14ac:dyDescent="0.3">
      <c r="B4" s="315" t="s">
        <v>169</v>
      </c>
      <c r="C4" s="72">
        <v>7750</v>
      </c>
      <c r="D4" s="45" t="s">
        <v>1</v>
      </c>
      <c r="S4" s="341" t="s">
        <v>165</v>
      </c>
      <c r="T4" s="341"/>
    </row>
    <row r="5" spans="2:36" x14ac:dyDescent="0.25">
      <c r="S5" s="19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1"/>
    </row>
    <row r="6" spans="2:36" x14ac:dyDescent="0.25">
      <c r="B6" s="337" t="s">
        <v>150</v>
      </c>
      <c r="C6" s="338"/>
      <c r="D6" s="32" t="s">
        <v>6</v>
      </c>
      <c r="E6" s="313"/>
      <c r="F6" s="313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  <c r="S6" s="22"/>
      <c r="T6" s="337" t="s">
        <v>150</v>
      </c>
      <c r="U6" s="338"/>
      <c r="V6" s="32" t="s">
        <v>6</v>
      </c>
      <c r="W6" s="313"/>
      <c r="X6" s="31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3"/>
    </row>
    <row r="7" spans="2:36" x14ac:dyDescent="0.25">
      <c r="B7" s="35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36"/>
      <c r="S7" s="22"/>
      <c r="T7" s="35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36"/>
      <c r="AJ7" s="23"/>
    </row>
    <row r="8" spans="2:36" x14ac:dyDescent="0.25">
      <c r="B8" s="37" t="s">
        <v>1</v>
      </c>
      <c r="C8" s="321">
        <f>U8/$C$4</f>
        <v>0.5161290322580645</v>
      </c>
      <c r="D8" s="321">
        <f t="shared" ref="D8:Q8" si="0">V8/$C$4</f>
        <v>0.54838709677419351</v>
      </c>
      <c r="E8" s="321">
        <f t="shared" si="0"/>
        <v>0.58064516129032262</v>
      </c>
      <c r="F8" s="321">
        <f t="shared" si="0"/>
        <v>0.61290322580645162</v>
      </c>
      <c r="G8" s="321">
        <f t="shared" si="0"/>
        <v>0.64516129032258063</v>
      </c>
      <c r="H8" s="321">
        <f t="shared" si="0"/>
        <v>0.67741935483870963</v>
      </c>
      <c r="I8" s="321">
        <f t="shared" si="0"/>
        <v>0.70967741935483875</v>
      </c>
      <c r="J8" s="321">
        <f t="shared" si="0"/>
        <v>0.74193548387096775</v>
      </c>
      <c r="K8" s="321">
        <f t="shared" si="0"/>
        <v>0.77419354838709675</v>
      </c>
      <c r="L8" s="321">
        <f t="shared" si="0"/>
        <v>0.80645161290322576</v>
      </c>
      <c r="M8" s="321">
        <f t="shared" si="0"/>
        <v>0.83870967741935487</v>
      </c>
      <c r="N8" s="321">
        <f t="shared" si="0"/>
        <v>0.87096774193548387</v>
      </c>
      <c r="O8" s="321">
        <f t="shared" si="0"/>
        <v>0.90322580645161288</v>
      </c>
      <c r="P8" s="321">
        <f t="shared" si="0"/>
        <v>0.93548387096774188</v>
      </c>
      <c r="Q8" s="322">
        <f t="shared" si="0"/>
        <v>0.967741935483871</v>
      </c>
      <c r="S8" s="22"/>
      <c r="T8" s="37" t="s">
        <v>1</v>
      </c>
      <c r="U8" s="27">
        <v>4000</v>
      </c>
      <c r="V8" s="27">
        <v>4250</v>
      </c>
      <c r="W8" s="27">
        <v>4500</v>
      </c>
      <c r="X8" s="27">
        <v>4750</v>
      </c>
      <c r="Y8" s="27">
        <v>5000</v>
      </c>
      <c r="Z8" s="27">
        <v>5250</v>
      </c>
      <c r="AA8" s="27">
        <v>5500</v>
      </c>
      <c r="AB8" s="27">
        <v>5750</v>
      </c>
      <c r="AC8" s="27">
        <v>6000</v>
      </c>
      <c r="AD8" s="27">
        <v>6250</v>
      </c>
      <c r="AE8" s="27">
        <v>6500</v>
      </c>
      <c r="AF8" s="27">
        <v>6750</v>
      </c>
      <c r="AG8" s="27">
        <v>7000</v>
      </c>
      <c r="AH8" s="27">
        <v>7250</v>
      </c>
      <c r="AI8" s="42">
        <v>7500</v>
      </c>
      <c r="AJ8" s="23"/>
    </row>
    <row r="9" spans="2:36" x14ac:dyDescent="0.25">
      <c r="B9" s="37" t="s">
        <v>4</v>
      </c>
      <c r="C9" s="73">
        <v>57.65</v>
      </c>
      <c r="D9" s="73">
        <v>65.022000000000006</v>
      </c>
      <c r="E9" s="73">
        <v>73.168000000000006</v>
      </c>
      <c r="F9" s="73">
        <v>82.26</v>
      </c>
      <c r="G9" s="73">
        <v>90.66</v>
      </c>
      <c r="H9" s="73">
        <v>101.65300000000001</v>
      </c>
      <c r="I9" s="73">
        <v>109.17</v>
      </c>
      <c r="J9" s="73">
        <v>115.38</v>
      </c>
      <c r="K9" s="73">
        <v>123.98</v>
      </c>
      <c r="L9" s="73">
        <v>128.25</v>
      </c>
      <c r="M9" s="73">
        <v>135.102</v>
      </c>
      <c r="N9" s="73">
        <v>137.22999999999999</v>
      </c>
      <c r="O9" s="73">
        <v>136.43</v>
      </c>
      <c r="P9" s="73">
        <v>138.66</v>
      </c>
      <c r="Q9" s="74">
        <v>137.9</v>
      </c>
      <c r="S9" s="22"/>
      <c r="T9" s="37" t="s">
        <v>4</v>
      </c>
      <c r="U9" s="73">
        <v>57.65</v>
      </c>
      <c r="V9" s="73">
        <v>65.022000000000006</v>
      </c>
      <c r="W9" s="73">
        <v>73.168000000000006</v>
      </c>
      <c r="X9" s="73">
        <v>82.26</v>
      </c>
      <c r="Y9" s="73">
        <v>90.66</v>
      </c>
      <c r="Z9" s="73">
        <v>101.65300000000001</v>
      </c>
      <c r="AA9" s="73">
        <v>109.17</v>
      </c>
      <c r="AB9" s="73">
        <v>115.38</v>
      </c>
      <c r="AC9" s="73">
        <v>123.98</v>
      </c>
      <c r="AD9" s="73">
        <v>128.25</v>
      </c>
      <c r="AE9" s="73">
        <v>135.102</v>
      </c>
      <c r="AF9" s="73">
        <v>137.22999999999999</v>
      </c>
      <c r="AG9" s="73">
        <v>136.43</v>
      </c>
      <c r="AH9" s="73">
        <v>138.66</v>
      </c>
      <c r="AI9" s="74">
        <v>137.9</v>
      </c>
      <c r="AJ9" s="23"/>
    </row>
    <row r="10" spans="2:36" x14ac:dyDescent="0.25">
      <c r="B10" s="37" t="s">
        <v>5</v>
      </c>
      <c r="C10" s="323">
        <f t="shared" ref="C10:Q10" si="1">C9/3600</f>
        <v>1.601388888888889E-2</v>
      </c>
      <c r="D10" s="323">
        <f t="shared" si="1"/>
        <v>1.8061666666666667E-2</v>
      </c>
      <c r="E10" s="323">
        <f t="shared" si="1"/>
        <v>2.0324444444444447E-2</v>
      </c>
      <c r="F10" s="323">
        <f t="shared" si="1"/>
        <v>2.2850000000000002E-2</v>
      </c>
      <c r="G10" s="323">
        <f t="shared" si="1"/>
        <v>2.5183333333333332E-2</v>
      </c>
      <c r="H10" s="323">
        <f t="shared" si="1"/>
        <v>2.8236944444444446E-2</v>
      </c>
      <c r="I10" s="323">
        <f t="shared" si="1"/>
        <v>3.0325000000000001E-2</v>
      </c>
      <c r="J10" s="323">
        <f t="shared" si="1"/>
        <v>3.2050000000000002E-2</v>
      </c>
      <c r="K10" s="323">
        <f t="shared" si="1"/>
        <v>3.4438888888888887E-2</v>
      </c>
      <c r="L10" s="323">
        <f t="shared" si="1"/>
        <v>3.5624999999999997E-2</v>
      </c>
      <c r="M10" s="323">
        <f t="shared" si="1"/>
        <v>3.7528333333333337E-2</v>
      </c>
      <c r="N10" s="323">
        <f t="shared" si="1"/>
        <v>3.8119444444444442E-2</v>
      </c>
      <c r="O10" s="323">
        <f t="shared" si="1"/>
        <v>3.7897222222222221E-2</v>
      </c>
      <c r="P10" s="323">
        <f t="shared" si="1"/>
        <v>3.8516666666666664E-2</v>
      </c>
      <c r="Q10" s="324">
        <f t="shared" si="1"/>
        <v>3.8305555555555558E-2</v>
      </c>
      <c r="S10" s="22"/>
      <c r="T10" s="37" t="s">
        <v>5</v>
      </c>
      <c r="U10" s="76">
        <f t="shared" ref="U10:AI10" si="2">U9/3600</f>
        <v>1.601388888888889E-2</v>
      </c>
      <c r="V10" s="76">
        <f t="shared" si="2"/>
        <v>1.8061666666666667E-2</v>
      </c>
      <c r="W10" s="76">
        <f t="shared" si="2"/>
        <v>2.0324444444444447E-2</v>
      </c>
      <c r="X10" s="76">
        <f t="shared" si="2"/>
        <v>2.2850000000000002E-2</v>
      </c>
      <c r="Y10" s="76">
        <f t="shared" si="2"/>
        <v>2.5183333333333332E-2</v>
      </c>
      <c r="Z10" s="76">
        <f t="shared" si="2"/>
        <v>2.8236944444444446E-2</v>
      </c>
      <c r="AA10" s="76">
        <f t="shared" si="2"/>
        <v>3.0325000000000001E-2</v>
      </c>
      <c r="AB10" s="76">
        <f t="shared" si="2"/>
        <v>3.2050000000000002E-2</v>
      </c>
      <c r="AC10" s="76">
        <f t="shared" si="2"/>
        <v>3.4438888888888887E-2</v>
      </c>
      <c r="AD10" s="76">
        <f t="shared" si="2"/>
        <v>3.5624999999999997E-2</v>
      </c>
      <c r="AE10" s="76">
        <f t="shared" si="2"/>
        <v>3.7528333333333337E-2</v>
      </c>
      <c r="AF10" s="76">
        <f t="shared" si="2"/>
        <v>3.8119444444444442E-2</v>
      </c>
      <c r="AG10" s="76">
        <f t="shared" si="2"/>
        <v>3.7897222222222221E-2</v>
      </c>
      <c r="AH10" s="76">
        <f t="shared" si="2"/>
        <v>3.8516666666666664E-2</v>
      </c>
      <c r="AI10" s="80">
        <f t="shared" si="2"/>
        <v>3.8305555555555558E-2</v>
      </c>
      <c r="AJ10" s="23"/>
    </row>
    <row r="11" spans="2:36" x14ac:dyDescent="0.25">
      <c r="B11" s="37" t="s">
        <v>167</v>
      </c>
      <c r="C11" s="206">
        <f>U11/$C$3</f>
        <v>0.78200000000000003</v>
      </c>
      <c r="D11" s="206">
        <f t="shared" ref="D11:Q11" si="3">V11/$C$3</f>
        <v>0.82299999999999995</v>
      </c>
      <c r="E11" s="206">
        <f t="shared" si="3"/>
        <v>0.86474999999999991</v>
      </c>
      <c r="F11" s="206">
        <f t="shared" si="3"/>
        <v>0.89137500000000003</v>
      </c>
      <c r="G11" s="206">
        <f t="shared" si="3"/>
        <v>0.90112499999999995</v>
      </c>
      <c r="H11" s="206">
        <f t="shared" si="3"/>
        <v>0.94387500000000002</v>
      </c>
      <c r="I11" s="206">
        <f t="shared" si="3"/>
        <v>0.95437499999999997</v>
      </c>
      <c r="J11" s="206">
        <f t="shared" si="3"/>
        <v>0.9534999999999999</v>
      </c>
      <c r="K11" s="206">
        <f t="shared" si="3"/>
        <v>0.97862499999999997</v>
      </c>
      <c r="L11" s="206">
        <f t="shared" si="3"/>
        <v>0.97650000000000003</v>
      </c>
      <c r="M11" s="206">
        <f t="shared" si="3"/>
        <v>0.97887500000000005</v>
      </c>
      <c r="N11" s="206">
        <f t="shared" si="3"/>
        <v>0.95950000000000002</v>
      </c>
      <c r="O11" s="206">
        <f t="shared" si="3"/>
        <v>0.91862500000000002</v>
      </c>
      <c r="P11" s="206">
        <f t="shared" si="3"/>
        <v>0.89762500000000001</v>
      </c>
      <c r="Q11" s="319">
        <f t="shared" si="3"/>
        <v>0.85</v>
      </c>
      <c r="S11" s="22"/>
      <c r="T11" s="37" t="s">
        <v>7</v>
      </c>
      <c r="U11" s="73">
        <v>625.6</v>
      </c>
      <c r="V11" s="73">
        <v>658.4</v>
      </c>
      <c r="W11" s="73">
        <v>691.8</v>
      </c>
      <c r="X11" s="73">
        <v>713.1</v>
      </c>
      <c r="Y11" s="73">
        <v>720.9</v>
      </c>
      <c r="Z11" s="73">
        <v>755.1</v>
      </c>
      <c r="AA11" s="73">
        <v>763.5</v>
      </c>
      <c r="AB11" s="73">
        <v>762.8</v>
      </c>
      <c r="AC11" s="73">
        <v>782.9</v>
      </c>
      <c r="AD11" s="73">
        <v>781.2</v>
      </c>
      <c r="AE11" s="73">
        <v>783.1</v>
      </c>
      <c r="AF11" s="73">
        <v>767.6</v>
      </c>
      <c r="AG11" s="73">
        <v>734.9</v>
      </c>
      <c r="AH11" s="73">
        <v>718.1</v>
      </c>
      <c r="AI11" s="74">
        <v>680</v>
      </c>
      <c r="AJ11" s="23"/>
    </row>
    <row r="12" spans="2:36" ht="15.75" thickBot="1" x14ac:dyDescent="0.3">
      <c r="B12" s="37" t="s">
        <v>166</v>
      </c>
      <c r="C12" s="317">
        <f>U12/$C$2</f>
        <v>0.47850379487179501</v>
      </c>
      <c r="D12" s="317">
        <f t="shared" ref="D12:Q12" si="4">V12/$C$2</f>
        <v>0.53506606410256408</v>
      </c>
      <c r="E12" s="317">
        <f t="shared" si="4"/>
        <v>0.59528059615384621</v>
      </c>
      <c r="F12" s="317">
        <f t="shared" si="4"/>
        <v>0.64769821634615377</v>
      </c>
      <c r="G12" s="317">
        <f t="shared" si="4"/>
        <v>0.68924509615384633</v>
      </c>
      <c r="H12" s="317">
        <f t="shared" si="4"/>
        <v>0.75804053365384627</v>
      </c>
      <c r="I12" s="317">
        <f t="shared" si="4"/>
        <v>0.80297197115384622</v>
      </c>
      <c r="J12" s="317">
        <f t="shared" si="4"/>
        <v>0.83870104487179487</v>
      </c>
      <c r="K12" s="317">
        <f t="shared" si="4"/>
        <v>0.89822719230769232</v>
      </c>
      <c r="L12" s="317">
        <f t="shared" si="4"/>
        <v>0.93362163461538483</v>
      </c>
      <c r="M12" s="317">
        <f t="shared" si="4"/>
        <v>0.97332804166666698</v>
      </c>
      <c r="N12" s="317">
        <f t="shared" si="4"/>
        <v>0.99075755769230767</v>
      </c>
      <c r="O12" s="317">
        <f t="shared" si="4"/>
        <v>0.9836824935897438</v>
      </c>
      <c r="P12" s="317">
        <f t="shared" si="4"/>
        <v>0.99552366506410261</v>
      </c>
      <c r="Q12" s="318">
        <f t="shared" si="4"/>
        <v>0.97521153846153863</v>
      </c>
      <c r="S12" s="22"/>
      <c r="T12" s="37" t="s">
        <v>8</v>
      </c>
      <c r="U12" s="75">
        <f t="shared" ref="U12:AI12" si="5">U11*6.28*U8/60/1000</f>
        <v>261.91786666666673</v>
      </c>
      <c r="V12" s="75">
        <f t="shared" si="5"/>
        <v>292.87826666666666</v>
      </c>
      <c r="W12" s="75">
        <f t="shared" si="5"/>
        <v>325.83780000000002</v>
      </c>
      <c r="X12" s="75">
        <f t="shared" si="5"/>
        <v>354.52954999999997</v>
      </c>
      <c r="Y12" s="75">
        <f t="shared" si="5"/>
        <v>377.27100000000007</v>
      </c>
      <c r="Z12" s="75">
        <f t="shared" si="5"/>
        <v>414.92745000000002</v>
      </c>
      <c r="AA12" s="75">
        <f t="shared" si="5"/>
        <v>439.5215</v>
      </c>
      <c r="AB12" s="75">
        <f t="shared" si="5"/>
        <v>459.07846666666666</v>
      </c>
      <c r="AC12" s="75">
        <f t="shared" si="5"/>
        <v>491.66120000000001</v>
      </c>
      <c r="AD12" s="75">
        <f t="shared" si="5"/>
        <v>511.03500000000008</v>
      </c>
      <c r="AE12" s="75">
        <f t="shared" si="5"/>
        <v>532.76903333333348</v>
      </c>
      <c r="AF12" s="75">
        <f t="shared" si="5"/>
        <v>542.30939999999998</v>
      </c>
      <c r="AG12" s="75">
        <f t="shared" si="5"/>
        <v>538.43673333333345</v>
      </c>
      <c r="AH12" s="75">
        <f t="shared" si="5"/>
        <v>544.91821666666669</v>
      </c>
      <c r="AI12" s="81">
        <f t="shared" si="5"/>
        <v>533.80000000000007</v>
      </c>
      <c r="AJ12" s="23"/>
    </row>
    <row r="13" spans="2:36" x14ac:dyDescent="0.25">
      <c r="B13" s="41" t="s">
        <v>9</v>
      </c>
      <c r="C13" s="213">
        <v>220.10716845586194</v>
      </c>
      <c r="D13" s="214">
        <v>222.01032784041792</v>
      </c>
      <c r="E13" s="214">
        <v>224.55344346174689</v>
      </c>
      <c r="F13" s="214">
        <v>232.02579305448589</v>
      </c>
      <c r="G13" s="214">
        <v>240.30471464809111</v>
      </c>
      <c r="H13" s="214">
        <v>244.98981689449565</v>
      </c>
      <c r="I13" s="214">
        <v>248.38375369578051</v>
      </c>
      <c r="J13" s="214">
        <v>251.32958388958053</v>
      </c>
      <c r="K13" s="214">
        <v>252.16551560302094</v>
      </c>
      <c r="L13" s="214">
        <v>250.9612844521412</v>
      </c>
      <c r="M13" s="214">
        <v>253.58455831172864</v>
      </c>
      <c r="N13" s="214">
        <v>253.04743012014913</v>
      </c>
      <c r="O13" s="214">
        <v>253.38167244904409</v>
      </c>
      <c r="P13" s="214">
        <v>254.46020294238036</v>
      </c>
      <c r="Q13" s="314">
        <v>258.3364556013488</v>
      </c>
      <c r="S13" s="22"/>
      <c r="T13" s="41" t="s">
        <v>9</v>
      </c>
      <c r="U13" s="213">
        <f t="shared" ref="U13:AI13" si="6">U9*1000/U12</f>
        <v>220.10716845586194</v>
      </c>
      <c r="V13" s="214">
        <f t="shared" si="6"/>
        <v>222.01032784041792</v>
      </c>
      <c r="W13" s="214">
        <f t="shared" si="6"/>
        <v>224.55344346174689</v>
      </c>
      <c r="X13" s="214">
        <f t="shared" si="6"/>
        <v>232.02579305448589</v>
      </c>
      <c r="Y13" s="214">
        <f t="shared" si="6"/>
        <v>240.30471464809111</v>
      </c>
      <c r="Z13" s="214">
        <f t="shared" si="6"/>
        <v>244.98981689449565</v>
      </c>
      <c r="AA13" s="214">
        <f t="shared" si="6"/>
        <v>248.38375369578051</v>
      </c>
      <c r="AB13" s="214">
        <f t="shared" si="6"/>
        <v>251.32958388958053</v>
      </c>
      <c r="AC13" s="214">
        <f t="shared" si="6"/>
        <v>252.16551560302094</v>
      </c>
      <c r="AD13" s="214">
        <f t="shared" si="6"/>
        <v>250.9612844521412</v>
      </c>
      <c r="AE13" s="214">
        <f t="shared" si="6"/>
        <v>253.58455831172864</v>
      </c>
      <c r="AF13" s="214">
        <f t="shared" si="6"/>
        <v>253.04743012014913</v>
      </c>
      <c r="AG13" s="214">
        <f t="shared" si="6"/>
        <v>253.38167244904409</v>
      </c>
      <c r="AH13" s="214">
        <f t="shared" si="6"/>
        <v>254.46020294238036</v>
      </c>
      <c r="AI13" s="314">
        <f t="shared" si="6"/>
        <v>258.3364556013488</v>
      </c>
      <c r="AJ13" s="23"/>
    </row>
    <row r="14" spans="2:36" x14ac:dyDescent="0.25">
      <c r="S14" s="22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23"/>
    </row>
    <row r="15" spans="2:36" x14ac:dyDescent="0.25">
      <c r="S15" s="22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23"/>
    </row>
    <row r="16" spans="2:36" x14ac:dyDescent="0.25">
      <c r="B16" s="349" t="s">
        <v>171</v>
      </c>
      <c r="C16" s="350"/>
      <c r="D16" s="32" t="s">
        <v>6</v>
      </c>
      <c r="E16" s="312"/>
      <c r="F16" s="31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S16" s="22"/>
      <c r="T16" s="339" t="s">
        <v>151</v>
      </c>
      <c r="U16" s="340"/>
      <c r="V16" s="32" t="s">
        <v>6</v>
      </c>
      <c r="W16" s="312"/>
      <c r="X16" s="312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23"/>
    </row>
    <row r="17" spans="2:36" x14ac:dyDescent="0.25">
      <c r="B17" s="35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36"/>
      <c r="S17" s="22"/>
      <c r="T17" s="3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36"/>
      <c r="AJ17" s="23"/>
    </row>
    <row r="18" spans="2:36" x14ac:dyDescent="0.25">
      <c r="B18" s="37" t="s">
        <v>168</v>
      </c>
      <c r="C18" s="321">
        <f>U18/$C$4</f>
        <v>0.5161290322580645</v>
      </c>
      <c r="D18" s="321">
        <f t="shared" ref="D18" si="7">V18/$C$4</f>
        <v>0.54838709677419351</v>
      </c>
      <c r="E18" s="321">
        <f t="shared" ref="E18" si="8">W18/$C$4</f>
        <v>0.58064516129032262</v>
      </c>
      <c r="F18" s="321">
        <f t="shared" ref="F18" si="9">X18/$C$4</f>
        <v>0.61290322580645162</v>
      </c>
      <c r="G18" s="321">
        <f t="shared" ref="G18" si="10">Y18/$C$4</f>
        <v>0.64516129032258063</v>
      </c>
      <c r="H18" s="321">
        <f t="shared" ref="H18" si="11">Z18/$C$4</f>
        <v>0.67741935483870963</v>
      </c>
      <c r="I18" s="321">
        <f t="shared" ref="I18" si="12">AA18/$C$4</f>
        <v>0.70967741935483875</v>
      </c>
      <c r="J18" s="321">
        <f t="shared" ref="J18" si="13">AB18/$C$4</f>
        <v>0.74193548387096775</v>
      </c>
      <c r="K18" s="321">
        <f t="shared" ref="K18" si="14">AC18/$C$4</f>
        <v>0.77419354838709675</v>
      </c>
      <c r="L18" s="321">
        <f t="shared" ref="L18" si="15">AD18/$C$4</f>
        <v>0.80645161290322576</v>
      </c>
      <c r="M18" s="321">
        <f t="shared" ref="M18" si="16">AE18/$C$4</f>
        <v>0.83870967741935487</v>
      </c>
      <c r="N18" s="321">
        <f t="shared" ref="N18" si="17">AF18/$C$4</f>
        <v>0.87096774193548387</v>
      </c>
      <c r="O18" s="321">
        <f t="shared" ref="O18" si="18">AG18/$C$4</f>
        <v>0.90322580645161288</v>
      </c>
      <c r="P18" s="321">
        <f t="shared" ref="P18" si="19">AH18/$C$4</f>
        <v>0.93548387096774188</v>
      </c>
      <c r="Q18" s="322">
        <f t="shared" ref="Q18" si="20">AI18/$C$4</f>
        <v>0.967741935483871</v>
      </c>
      <c r="S18" s="22"/>
      <c r="T18" s="37" t="s">
        <v>1</v>
      </c>
      <c r="U18" s="64">
        <v>4000</v>
      </c>
      <c r="V18" s="64">
        <v>4250</v>
      </c>
      <c r="W18" s="64">
        <v>4500</v>
      </c>
      <c r="X18" s="64">
        <v>4750</v>
      </c>
      <c r="Y18" s="64">
        <v>5000</v>
      </c>
      <c r="Z18" s="64">
        <v>5250</v>
      </c>
      <c r="AA18" s="64">
        <v>5500</v>
      </c>
      <c r="AB18" s="64">
        <v>5750</v>
      </c>
      <c r="AC18" s="64">
        <v>6000</v>
      </c>
      <c r="AD18" s="64">
        <v>6250</v>
      </c>
      <c r="AE18" s="64">
        <v>6500</v>
      </c>
      <c r="AF18" s="64">
        <v>6750</v>
      </c>
      <c r="AG18" s="64">
        <v>7000</v>
      </c>
      <c r="AH18" s="64">
        <v>7250</v>
      </c>
      <c r="AI18" s="65">
        <v>7500</v>
      </c>
      <c r="AJ18" s="23"/>
    </row>
    <row r="19" spans="2:36" x14ac:dyDescent="0.25">
      <c r="B19" s="37" t="s">
        <v>4</v>
      </c>
      <c r="C19" s="63">
        <v>56.975999999999999</v>
      </c>
      <c r="D19" s="63">
        <v>62.247</v>
      </c>
      <c r="E19" s="63">
        <v>69.706999999999994</v>
      </c>
      <c r="F19" s="63">
        <v>77.369</v>
      </c>
      <c r="G19" s="63">
        <v>86.769000000000005</v>
      </c>
      <c r="H19" s="63">
        <v>94.855000000000004</v>
      </c>
      <c r="I19" s="63">
        <v>102.096</v>
      </c>
      <c r="J19" s="63">
        <v>108.989</v>
      </c>
      <c r="K19" s="63">
        <v>113.291</v>
      </c>
      <c r="L19" s="63">
        <v>119.12</v>
      </c>
      <c r="M19" s="63">
        <v>124.247</v>
      </c>
      <c r="N19" s="63">
        <v>129.18799999999999</v>
      </c>
      <c r="O19" s="63">
        <v>131.35400000000001</v>
      </c>
      <c r="P19" s="63">
        <v>131.898</v>
      </c>
      <c r="Q19" s="66">
        <v>134.63499999999999</v>
      </c>
      <c r="S19" s="22"/>
      <c r="T19" s="37" t="s">
        <v>4</v>
      </c>
      <c r="U19" s="63">
        <v>56.975999999999999</v>
      </c>
      <c r="V19" s="63">
        <v>62.247</v>
      </c>
      <c r="W19" s="63">
        <v>69.706999999999994</v>
      </c>
      <c r="X19" s="63">
        <v>77.369</v>
      </c>
      <c r="Y19" s="63">
        <v>86.769000000000005</v>
      </c>
      <c r="Z19" s="63">
        <v>94.855000000000004</v>
      </c>
      <c r="AA19" s="63">
        <v>102.096</v>
      </c>
      <c r="AB19" s="63">
        <v>108.989</v>
      </c>
      <c r="AC19" s="63">
        <v>113.291</v>
      </c>
      <c r="AD19" s="63">
        <v>119.12</v>
      </c>
      <c r="AE19" s="63">
        <v>124.247</v>
      </c>
      <c r="AF19" s="63">
        <v>129.18799999999999</v>
      </c>
      <c r="AG19" s="63">
        <v>131.35400000000001</v>
      </c>
      <c r="AH19" s="63">
        <v>131.898</v>
      </c>
      <c r="AI19" s="66">
        <v>134.63499999999999</v>
      </c>
      <c r="AJ19" s="23"/>
    </row>
    <row r="20" spans="2:36" x14ac:dyDescent="0.25">
      <c r="B20" s="37" t="s">
        <v>5</v>
      </c>
      <c r="C20" s="189">
        <f t="shared" ref="C20:Q20" si="21">C19/3600</f>
        <v>1.5826666666666666E-2</v>
      </c>
      <c r="D20" s="189">
        <f t="shared" si="21"/>
        <v>1.7290833333333332E-2</v>
      </c>
      <c r="E20" s="189">
        <f t="shared" si="21"/>
        <v>1.9363055555555553E-2</v>
      </c>
      <c r="F20" s="189">
        <f t="shared" si="21"/>
        <v>2.149138888888889E-2</v>
      </c>
      <c r="G20" s="189">
        <f t="shared" si="21"/>
        <v>2.4102500000000002E-2</v>
      </c>
      <c r="H20" s="189">
        <f t="shared" si="21"/>
        <v>2.6348611111111111E-2</v>
      </c>
      <c r="I20" s="189">
        <f t="shared" si="21"/>
        <v>2.836E-2</v>
      </c>
      <c r="J20" s="189">
        <f t="shared" si="21"/>
        <v>3.0274722222222224E-2</v>
      </c>
      <c r="K20" s="189">
        <f t="shared" si="21"/>
        <v>3.1469722222222218E-2</v>
      </c>
      <c r="L20" s="189">
        <f t="shared" si="21"/>
        <v>3.308888888888889E-2</v>
      </c>
      <c r="M20" s="189">
        <f t="shared" si="21"/>
        <v>3.4513055555555554E-2</v>
      </c>
      <c r="N20" s="189">
        <f t="shared" si="21"/>
        <v>3.5885555555555552E-2</v>
      </c>
      <c r="O20" s="189">
        <f t="shared" si="21"/>
        <v>3.6487222222222226E-2</v>
      </c>
      <c r="P20" s="189">
        <f t="shared" si="21"/>
        <v>3.6638333333333335E-2</v>
      </c>
      <c r="Q20" s="325">
        <f t="shared" si="21"/>
        <v>3.7398611111111112E-2</v>
      </c>
      <c r="S20" s="22"/>
      <c r="T20" s="37" t="s">
        <v>5</v>
      </c>
      <c r="U20" s="78">
        <f t="shared" ref="U20:AI20" si="22">U19/3600</f>
        <v>1.5826666666666666E-2</v>
      </c>
      <c r="V20" s="78">
        <f t="shared" si="22"/>
        <v>1.7290833333333332E-2</v>
      </c>
      <c r="W20" s="78">
        <f t="shared" si="22"/>
        <v>1.9363055555555553E-2</v>
      </c>
      <c r="X20" s="78">
        <f t="shared" si="22"/>
        <v>2.149138888888889E-2</v>
      </c>
      <c r="Y20" s="78">
        <f t="shared" si="22"/>
        <v>2.4102500000000002E-2</v>
      </c>
      <c r="Z20" s="78">
        <f t="shared" si="22"/>
        <v>2.6348611111111111E-2</v>
      </c>
      <c r="AA20" s="78">
        <f t="shared" si="22"/>
        <v>2.836E-2</v>
      </c>
      <c r="AB20" s="78">
        <f t="shared" si="22"/>
        <v>3.0274722222222224E-2</v>
      </c>
      <c r="AC20" s="78">
        <f t="shared" si="22"/>
        <v>3.1469722222222218E-2</v>
      </c>
      <c r="AD20" s="78">
        <f t="shared" si="22"/>
        <v>3.308888888888889E-2</v>
      </c>
      <c r="AE20" s="78">
        <f t="shared" si="22"/>
        <v>3.4513055555555554E-2</v>
      </c>
      <c r="AF20" s="78">
        <f t="shared" si="22"/>
        <v>3.5885555555555552E-2</v>
      </c>
      <c r="AG20" s="78">
        <f t="shared" si="22"/>
        <v>3.6487222222222226E-2</v>
      </c>
      <c r="AH20" s="78">
        <f t="shared" si="22"/>
        <v>3.6638333333333335E-2</v>
      </c>
      <c r="AI20" s="79">
        <f t="shared" si="22"/>
        <v>3.7398611111111112E-2</v>
      </c>
      <c r="AJ20" s="23"/>
    </row>
    <row r="21" spans="2:36" x14ac:dyDescent="0.25">
      <c r="B21" s="37" t="s">
        <v>167</v>
      </c>
      <c r="C21" s="206">
        <f>U21/$C$3</f>
        <v>0.78625</v>
      </c>
      <c r="D21" s="206">
        <f t="shared" ref="D21" si="23">V21/$C$3</f>
        <v>0.79474999999999996</v>
      </c>
      <c r="E21" s="206">
        <f t="shared" ref="E21" si="24">W21/$C$3</f>
        <v>0.83924999999999994</v>
      </c>
      <c r="F21" s="206">
        <f t="shared" ref="F21" si="25">X21/$C$3</f>
        <v>0.86512500000000003</v>
      </c>
      <c r="G21" s="206">
        <f t="shared" ref="G21" si="26">Y21/$C$3</f>
        <v>0.89687499999999998</v>
      </c>
      <c r="H21" s="206">
        <f t="shared" ref="H21" si="27">Z21/$C$3</f>
        <v>0.92462500000000003</v>
      </c>
      <c r="I21" s="206">
        <f t="shared" ref="I21" si="28">AA21/$C$3</f>
        <v>0.949125</v>
      </c>
      <c r="J21" s="206">
        <f t="shared" ref="J21" si="29">AB21/$C$3</f>
        <v>0.96250000000000002</v>
      </c>
      <c r="K21" s="206">
        <f t="shared" ref="K21" si="30">AC21/$C$3</f>
        <v>0.96974999999999989</v>
      </c>
      <c r="L21" s="206">
        <f t="shared" ref="L21" si="31">AD21/$C$3</f>
        <v>0.96900000000000008</v>
      </c>
      <c r="M21" s="206">
        <f t="shared" ref="M21" si="32">AE21/$C$3</f>
        <v>0.96099999999999997</v>
      </c>
      <c r="N21" s="206">
        <f t="shared" ref="N21" si="33">AF21/$C$3</f>
        <v>0.95537499999999997</v>
      </c>
      <c r="O21" s="206">
        <f t="shared" ref="O21" si="34">AG21/$C$3</f>
        <v>0.92525000000000002</v>
      </c>
      <c r="P21" s="206">
        <f t="shared" ref="P21" si="35">AH21/$C$3</f>
        <v>0.89687499999999998</v>
      </c>
      <c r="Q21" s="319">
        <f t="shared" ref="Q21" si="36">AI21/$C$3</f>
        <v>0.87375000000000003</v>
      </c>
      <c r="S21" s="22"/>
      <c r="T21" s="37" t="s">
        <v>18</v>
      </c>
      <c r="U21" s="63">
        <v>629</v>
      </c>
      <c r="V21" s="63">
        <v>635.79999999999995</v>
      </c>
      <c r="W21" s="63">
        <v>671.4</v>
      </c>
      <c r="X21" s="63">
        <v>692.1</v>
      </c>
      <c r="Y21" s="63">
        <v>717.5</v>
      </c>
      <c r="Z21" s="63">
        <v>739.7</v>
      </c>
      <c r="AA21" s="63">
        <v>759.3</v>
      </c>
      <c r="AB21" s="63">
        <v>770</v>
      </c>
      <c r="AC21" s="63">
        <v>775.8</v>
      </c>
      <c r="AD21" s="63">
        <v>775.2</v>
      </c>
      <c r="AE21" s="63">
        <v>768.8</v>
      </c>
      <c r="AF21" s="63">
        <v>764.3</v>
      </c>
      <c r="AG21" s="63">
        <v>740.2</v>
      </c>
      <c r="AH21" s="63">
        <v>717.5</v>
      </c>
      <c r="AI21" s="66">
        <v>699</v>
      </c>
      <c r="AJ21" s="23"/>
    </row>
    <row r="22" spans="2:36" ht="15.75" thickBot="1" x14ac:dyDescent="0.3">
      <c r="B22" s="37" t="s">
        <v>166</v>
      </c>
      <c r="C22" s="317">
        <f>U22/$C$2</f>
        <v>0.48110435897435905</v>
      </c>
      <c r="D22" s="317">
        <f t="shared" ref="D22" si="37">V22/$C$2</f>
        <v>0.51669958012820516</v>
      </c>
      <c r="E22" s="317">
        <f t="shared" ref="E22" si="38">W22/$C$2</f>
        <v>0.57772678846153847</v>
      </c>
      <c r="F22" s="317">
        <f t="shared" ref="F22" si="39">X22/$C$2</f>
        <v>0.62862422596153844</v>
      </c>
      <c r="G22" s="317">
        <f t="shared" ref="G22" si="40">Y22/$C$2</f>
        <v>0.68599439102564119</v>
      </c>
      <c r="H22" s="317">
        <f t="shared" ref="H22" si="41">Z22/$C$2</f>
        <v>0.74258056250000026</v>
      </c>
      <c r="I22" s="317">
        <f t="shared" ref="I22" si="42">AA22/$C$2</f>
        <v>0.79855483653846149</v>
      </c>
      <c r="J22" s="317">
        <f t="shared" ref="J22" si="43">AB22/$C$2</f>
        <v>0.84661746794871817</v>
      </c>
      <c r="K22" s="317">
        <f t="shared" ref="K22" si="44">AC22/$C$2</f>
        <v>0.89008130769230787</v>
      </c>
      <c r="L22" s="317">
        <f t="shared" ref="L22" si="45">AD22/$C$2</f>
        <v>0.92645096153846174</v>
      </c>
      <c r="M22" s="317">
        <f t="shared" ref="M22" si="46">AE22/$C$2</f>
        <v>0.95555433333333351</v>
      </c>
      <c r="N22" s="317">
        <f t="shared" ref="N22" si="47">AF22/$C$2</f>
        <v>0.98649817788461536</v>
      </c>
      <c r="O22" s="317">
        <f t="shared" ref="O22" si="48">AG22/$C$2</f>
        <v>0.99077667948717962</v>
      </c>
      <c r="P22" s="317">
        <f t="shared" ref="P22" si="49">AH22/$C$2</f>
        <v>0.9946918669871796</v>
      </c>
      <c r="Q22" s="318">
        <f t="shared" ref="Q22" si="50">AI22/$C$2</f>
        <v>1.0024600961538463</v>
      </c>
      <c r="S22" s="22"/>
      <c r="T22" s="37" t="s">
        <v>19</v>
      </c>
      <c r="U22" s="63">
        <f t="shared" ref="U22:AI22" si="51">U21*6.28*U18/60/1000</f>
        <v>263.34133333333335</v>
      </c>
      <c r="V22" s="63">
        <f t="shared" si="51"/>
        <v>282.82503333333335</v>
      </c>
      <c r="W22" s="63">
        <f t="shared" si="51"/>
        <v>316.2294</v>
      </c>
      <c r="X22" s="63">
        <f t="shared" si="51"/>
        <v>344.08904999999999</v>
      </c>
      <c r="Y22" s="63">
        <f t="shared" si="51"/>
        <v>375.49166666666673</v>
      </c>
      <c r="Z22" s="63">
        <f t="shared" si="51"/>
        <v>406.46515000000011</v>
      </c>
      <c r="AA22" s="63">
        <f t="shared" si="51"/>
        <v>437.10369999999995</v>
      </c>
      <c r="AB22" s="63">
        <f t="shared" si="51"/>
        <v>463.41166666666675</v>
      </c>
      <c r="AC22" s="63">
        <f t="shared" si="51"/>
        <v>487.20240000000007</v>
      </c>
      <c r="AD22" s="63">
        <f t="shared" si="51"/>
        <v>507.11000000000007</v>
      </c>
      <c r="AE22" s="63">
        <f t="shared" si="51"/>
        <v>523.04026666666675</v>
      </c>
      <c r="AF22" s="63">
        <f t="shared" si="51"/>
        <v>539.97794999999996</v>
      </c>
      <c r="AG22" s="63">
        <f t="shared" si="51"/>
        <v>542.31986666666671</v>
      </c>
      <c r="AH22" s="63">
        <f t="shared" si="51"/>
        <v>544.46291666666673</v>
      </c>
      <c r="AI22" s="66">
        <f t="shared" si="51"/>
        <v>548.71500000000015</v>
      </c>
      <c r="AJ22" s="23"/>
    </row>
    <row r="23" spans="2:36" ht="15.75" thickBot="1" x14ac:dyDescent="0.3">
      <c r="B23" s="41" t="s">
        <v>21</v>
      </c>
      <c r="C23" s="67">
        <v>216.35798406124368</v>
      </c>
      <c r="D23" s="68">
        <v>220.09013582131047</v>
      </c>
      <c r="E23" s="68">
        <v>220.43174986259976</v>
      </c>
      <c r="F23" s="68">
        <v>224.85167720390987</v>
      </c>
      <c r="G23" s="68">
        <v>231.08102709780505</v>
      </c>
      <c r="H23" s="68">
        <v>233.365640326114</v>
      </c>
      <c r="I23" s="68">
        <v>233.57386359346768</v>
      </c>
      <c r="J23" s="68">
        <v>235.18829550399749</v>
      </c>
      <c r="K23" s="68">
        <v>232.53374778120957</v>
      </c>
      <c r="L23" s="68">
        <v>234.89972589773419</v>
      </c>
      <c r="M23" s="68">
        <v>237.5476763803016</v>
      </c>
      <c r="N23" s="68">
        <v>239.24680628162685</v>
      </c>
      <c r="O23" s="68">
        <v>242.20761228490244</v>
      </c>
      <c r="P23" s="68">
        <v>242.25341334082285</v>
      </c>
      <c r="Q23" s="69">
        <v>245.3641690130577</v>
      </c>
      <c r="S23" s="22"/>
      <c r="T23" s="41" t="s">
        <v>21</v>
      </c>
      <c r="U23" s="67">
        <f t="shared" ref="U23:AI23" si="52">U19*1000/U22</f>
        <v>216.35798406124368</v>
      </c>
      <c r="V23" s="68">
        <f t="shared" si="52"/>
        <v>220.09013582131047</v>
      </c>
      <c r="W23" s="68">
        <f t="shared" si="52"/>
        <v>220.43174986259976</v>
      </c>
      <c r="X23" s="68">
        <f t="shared" si="52"/>
        <v>224.85167720390987</v>
      </c>
      <c r="Y23" s="68">
        <f t="shared" si="52"/>
        <v>231.08102709780505</v>
      </c>
      <c r="Z23" s="68">
        <f t="shared" si="52"/>
        <v>233.365640326114</v>
      </c>
      <c r="AA23" s="68">
        <f t="shared" si="52"/>
        <v>233.57386359346768</v>
      </c>
      <c r="AB23" s="68">
        <f t="shared" si="52"/>
        <v>235.18829550399749</v>
      </c>
      <c r="AC23" s="68">
        <f t="shared" si="52"/>
        <v>232.53374778120957</v>
      </c>
      <c r="AD23" s="68">
        <f t="shared" si="52"/>
        <v>234.89972589773419</v>
      </c>
      <c r="AE23" s="68">
        <f t="shared" si="52"/>
        <v>237.5476763803016</v>
      </c>
      <c r="AF23" s="68">
        <f t="shared" si="52"/>
        <v>239.24680628162685</v>
      </c>
      <c r="AG23" s="68">
        <f t="shared" si="52"/>
        <v>242.20761228490244</v>
      </c>
      <c r="AH23" s="68">
        <f t="shared" si="52"/>
        <v>242.25341334082285</v>
      </c>
      <c r="AI23" s="69">
        <f t="shared" si="52"/>
        <v>245.3641690130577</v>
      </c>
      <c r="AJ23" s="23"/>
    </row>
    <row r="24" spans="2:36" ht="15.75" thickBot="1" x14ac:dyDescent="0.3">
      <c r="S24" s="101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1"/>
    </row>
    <row r="26" spans="2:36" x14ac:dyDescent="0.25">
      <c r="B26" s="82" t="s">
        <v>22</v>
      </c>
      <c r="C26" s="342" t="s">
        <v>6</v>
      </c>
      <c r="D26" s="343"/>
      <c r="S26" s="237" t="s">
        <v>26</v>
      </c>
    </row>
    <row r="27" spans="2:36" x14ac:dyDescent="0.25">
      <c r="C27" s="83">
        <f>(C23-C13)/C13</f>
        <v>-1.7033449755045473E-2</v>
      </c>
      <c r="D27" s="84">
        <f t="shared" ref="D27:Q27" si="53">(D23-D13)/D13</f>
        <v>-8.6491112273285303E-3</v>
      </c>
      <c r="E27" s="84">
        <f t="shared" si="53"/>
        <v>-1.8355067442327039E-2</v>
      </c>
      <c r="F27" s="84">
        <f t="shared" si="53"/>
        <v>-3.0919475615761995E-2</v>
      </c>
      <c r="G27" s="84">
        <f t="shared" si="53"/>
        <v>-3.8383298321023301E-2</v>
      </c>
      <c r="H27" s="84">
        <f t="shared" si="53"/>
        <v>-4.744759074369026E-2</v>
      </c>
      <c r="I27" s="84">
        <f t="shared" si="53"/>
        <v>-5.9625035381548876E-2</v>
      </c>
      <c r="J27" s="84">
        <f t="shared" si="53"/>
        <v>-6.4223590934979521E-2</v>
      </c>
      <c r="K27" s="84">
        <f t="shared" si="53"/>
        <v>-7.7852706286442669E-2</v>
      </c>
      <c r="L27" s="84">
        <f t="shared" si="53"/>
        <v>-6.4000144840946516E-2</v>
      </c>
      <c r="M27" s="84">
        <f t="shared" si="53"/>
        <v>-6.3240766859759212E-2</v>
      </c>
      <c r="N27" s="84">
        <f t="shared" si="53"/>
        <v>-5.4537696083179453E-2</v>
      </c>
      <c r="O27" s="84">
        <f t="shared" si="53"/>
        <v>-4.4099717458407697E-2</v>
      </c>
      <c r="P27" s="84">
        <f t="shared" si="53"/>
        <v>-4.7971311271498146E-2</v>
      </c>
      <c r="Q27" s="85">
        <f t="shared" si="53"/>
        <v>-5.0214696017619929E-2</v>
      </c>
      <c r="S27" s="236">
        <f>AVERAGE(C27:Q27)</f>
        <v>-4.5770243882637243E-2</v>
      </c>
    </row>
    <row r="60" spans="2:20" x14ac:dyDescent="0.25">
      <c r="B60" s="344" t="s">
        <v>170</v>
      </c>
      <c r="C60" s="345"/>
      <c r="D60" s="333" t="s">
        <v>6</v>
      </c>
      <c r="E60" s="346"/>
      <c r="F60" s="346"/>
      <c r="G60" s="33"/>
      <c r="H60" s="33"/>
      <c r="I60" s="33"/>
      <c r="J60" s="34"/>
    </row>
    <row r="61" spans="2:20" x14ac:dyDescent="0.25">
      <c r="B61" s="35"/>
      <c r="C61" s="13"/>
      <c r="D61" s="13"/>
      <c r="E61" s="13"/>
      <c r="F61" s="13"/>
      <c r="G61" s="13"/>
      <c r="H61" s="13"/>
      <c r="I61" s="13"/>
      <c r="J61" s="36"/>
    </row>
    <row r="62" spans="2:20" x14ac:dyDescent="0.25">
      <c r="B62" s="37" t="s">
        <v>168</v>
      </c>
      <c r="C62" s="321">
        <v>0.5161290322580645</v>
      </c>
      <c r="D62" s="321">
        <v>0.58064516129032262</v>
      </c>
      <c r="E62" s="321">
        <v>0.64516129032258063</v>
      </c>
      <c r="F62" s="321">
        <v>0.70967741935483875</v>
      </c>
      <c r="G62" s="321">
        <v>0.77419354838709675</v>
      </c>
      <c r="H62" s="321">
        <v>0.83870967741935487</v>
      </c>
      <c r="I62" s="321">
        <v>0.90322580645161288</v>
      </c>
      <c r="J62" s="322">
        <v>0.967741935483871</v>
      </c>
      <c r="L62" s="326"/>
      <c r="M62" s="326"/>
      <c r="N62" s="326"/>
      <c r="O62" s="326"/>
      <c r="P62" s="326"/>
      <c r="Q62" s="326"/>
      <c r="R62" s="326"/>
      <c r="S62" s="326"/>
      <c r="T62" s="326"/>
    </row>
    <row r="63" spans="2:20" x14ac:dyDescent="0.25">
      <c r="B63" s="37" t="s">
        <v>4</v>
      </c>
      <c r="C63" s="73">
        <v>57.65</v>
      </c>
      <c r="D63" s="73">
        <v>73.168000000000006</v>
      </c>
      <c r="E63" s="73">
        <v>90.66</v>
      </c>
      <c r="F63" s="73">
        <v>109.17</v>
      </c>
      <c r="G63" s="73">
        <v>123.98</v>
      </c>
      <c r="H63" s="73">
        <v>135.102</v>
      </c>
      <c r="I63" s="73">
        <v>136.43</v>
      </c>
      <c r="J63" s="74">
        <v>137.9</v>
      </c>
      <c r="L63" s="330"/>
      <c r="M63" s="330"/>
      <c r="N63" s="330"/>
      <c r="O63" s="330"/>
      <c r="P63" s="330"/>
      <c r="Q63" s="330"/>
      <c r="R63" s="330"/>
      <c r="S63" s="330"/>
    </row>
    <row r="64" spans="2:20" x14ac:dyDescent="0.25">
      <c r="B64" s="37" t="s">
        <v>5</v>
      </c>
      <c r="C64" s="323">
        <f t="shared" ref="C64:J64" si="54">C63/3600</f>
        <v>1.601388888888889E-2</v>
      </c>
      <c r="D64" s="323">
        <f t="shared" si="54"/>
        <v>2.0324444444444447E-2</v>
      </c>
      <c r="E64" s="323">
        <f t="shared" si="54"/>
        <v>2.5183333333333332E-2</v>
      </c>
      <c r="F64" s="323">
        <f t="shared" si="54"/>
        <v>3.0325000000000001E-2</v>
      </c>
      <c r="G64" s="323">
        <f t="shared" si="54"/>
        <v>3.4438888888888887E-2</v>
      </c>
      <c r="H64" s="323">
        <f t="shared" si="54"/>
        <v>3.7528333333333337E-2</v>
      </c>
      <c r="I64" s="323">
        <f t="shared" si="54"/>
        <v>3.7897222222222221E-2</v>
      </c>
      <c r="J64" s="324">
        <f t="shared" si="54"/>
        <v>3.8305555555555558E-2</v>
      </c>
    </row>
    <row r="65" spans="2:20" x14ac:dyDescent="0.25">
      <c r="B65" s="37" t="s">
        <v>167</v>
      </c>
      <c r="C65" s="13">
        <v>0.78200000000000003</v>
      </c>
      <c r="D65" s="13">
        <v>0.86474999999999991</v>
      </c>
      <c r="E65" s="13">
        <v>0.90112499999999995</v>
      </c>
      <c r="F65" s="13">
        <v>0.95437499999999997</v>
      </c>
      <c r="G65" s="13">
        <v>0.97862499999999997</v>
      </c>
      <c r="H65" s="13">
        <v>0.97887500000000005</v>
      </c>
      <c r="I65" s="13">
        <v>0.91862500000000002</v>
      </c>
      <c r="J65" s="36">
        <v>0.85</v>
      </c>
    </row>
    <row r="66" spans="2:20" ht="15.75" thickBot="1" x14ac:dyDescent="0.3">
      <c r="B66" s="37" t="s">
        <v>166</v>
      </c>
      <c r="C66" s="13">
        <v>0.47850379487179501</v>
      </c>
      <c r="D66" s="13">
        <v>0.59528059615384621</v>
      </c>
      <c r="E66" s="13">
        <v>0.68924509615384633</v>
      </c>
      <c r="F66" s="13">
        <v>0.80297197115384622</v>
      </c>
      <c r="G66" s="13">
        <v>0.89822719230769232</v>
      </c>
      <c r="H66" s="13">
        <v>0.97332804166666698</v>
      </c>
      <c r="I66" s="13">
        <v>0.9836824935897438</v>
      </c>
      <c r="J66" s="36">
        <v>0.97521153846153863</v>
      </c>
    </row>
    <row r="67" spans="2:20" x14ac:dyDescent="0.25">
      <c r="B67" s="41" t="s">
        <v>9</v>
      </c>
      <c r="C67" s="213">
        <v>220.10716845586194</v>
      </c>
      <c r="D67" s="214">
        <v>224.55344346174689</v>
      </c>
      <c r="E67" s="214">
        <v>240.30471464809111</v>
      </c>
      <c r="F67" s="214">
        <v>248.38375369578051</v>
      </c>
      <c r="G67" s="214">
        <v>252.16551560302094</v>
      </c>
      <c r="H67" s="214">
        <v>253.58455831172864</v>
      </c>
      <c r="I67" s="214">
        <v>253.38167244904409</v>
      </c>
      <c r="J67" s="314">
        <v>258.3364556013488</v>
      </c>
    </row>
    <row r="69" spans="2:20" x14ac:dyDescent="0.25">
      <c r="B69" s="347" t="s">
        <v>10</v>
      </c>
      <c r="C69" s="348"/>
      <c r="D69" s="348"/>
      <c r="E69" s="33"/>
      <c r="F69" s="33"/>
      <c r="G69" s="33"/>
      <c r="H69" s="33"/>
      <c r="I69" s="33"/>
      <c r="J69" s="34"/>
    </row>
    <row r="70" spans="2:20" x14ac:dyDescent="0.25">
      <c r="B70" s="35"/>
      <c r="C70" s="13"/>
      <c r="D70" s="13"/>
      <c r="E70" s="13"/>
      <c r="F70" s="13"/>
      <c r="G70" s="13"/>
      <c r="H70" s="13"/>
      <c r="I70" s="13"/>
      <c r="J70" s="36"/>
    </row>
    <row r="71" spans="2:20" x14ac:dyDescent="0.25">
      <c r="B71" s="37" t="s">
        <v>168</v>
      </c>
      <c r="C71" s="331">
        <v>0.5161290322580645</v>
      </c>
      <c r="D71" s="331">
        <v>0.58064516129032262</v>
      </c>
      <c r="E71" s="331">
        <v>0.64516129032258063</v>
      </c>
      <c r="F71" s="331">
        <v>0.70967741935483875</v>
      </c>
      <c r="G71" s="331">
        <v>0.77419354838709675</v>
      </c>
      <c r="H71" s="331">
        <v>0.83870967741935487</v>
      </c>
      <c r="I71" s="331">
        <v>0.90322580645161288</v>
      </c>
      <c r="J71" s="332">
        <v>0.967741935483871</v>
      </c>
      <c r="L71" s="326"/>
      <c r="M71" s="326"/>
      <c r="N71" s="326"/>
      <c r="O71" s="326"/>
      <c r="P71" s="326"/>
      <c r="Q71" s="326"/>
      <c r="R71" s="326"/>
      <c r="S71" s="326"/>
      <c r="T71" s="326"/>
    </row>
    <row r="72" spans="2:20" x14ac:dyDescent="0.25">
      <c r="B72" s="37" t="s">
        <v>4</v>
      </c>
      <c r="C72" s="13">
        <v>49.264068234172676</v>
      </c>
      <c r="D72" s="13">
        <v>76.515218691264721</v>
      </c>
      <c r="E72" s="13">
        <v>99.280050202177208</v>
      </c>
      <c r="F72" s="13">
        <v>117.5585627669094</v>
      </c>
      <c r="G72" s="13">
        <v>131.35075638546166</v>
      </c>
      <c r="H72" s="13">
        <v>140.65663105783369</v>
      </c>
      <c r="I72" s="13">
        <v>145.47618678402614</v>
      </c>
      <c r="J72" s="36">
        <v>145.80942356403864</v>
      </c>
      <c r="L72" s="330"/>
      <c r="M72" s="330"/>
      <c r="N72" s="330"/>
      <c r="O72" s="330"/>
      <c r="P72" s="330"/>
      <c r="Q72" s="330"/>
      <c r="R72" s="330"/>
      <c r="S72" s="330"/>
    </row>
    <row r="73" spans="2:20" x14ac:dyDescent="0.25">
      <c r="B73" s="37" t="s">
        <v>5</v>
      </c>
      <c r="C73" s="189">
        <v>1.3684463398381299E-2</v>
      </c>
      <c r="D73" s="189">
        <v>2.1254227414240202E-2</v>
      </c>
      <c r="E73" s="189">
        <v>2.7577791722827E-2</v>
      </c>
      <c r="F73" s="189">
        <v>3.2655156324141503E-2</v>
      </c>
      <c r="G73" s="189">
        <v>3.64863212181838E-2</v>
      </c>
      <c r="H73" s="189">
        <v>3.9071286404953803E-2</v>
      </c>
      <c r="I73" s="189">
        <v>4.0410051884451702E-2</v>
      </c>
      <c r="J73" s="325">
        <v>4.0502617656677398E-2</v>
      </c>
    </row>
    <row r="74" spans="2:20" x14ac:dyDescent="0.25">
      <c r="B74" s="37" t="s">
        <v>167</v>
      </c>
      <c r="C74" s="70"/>
      <c r="D74" s="70"/>
      <c r="E74" s="70"/>
      <c r="F74" s="70"/>
      <c r="G74" s="70"/>
      <c r="H74" s="70"/>
      <c r="I74" s="70"/>
      <c r="J74" s="71"/>
    </row>
    <row r="75" spans="2:20" ht="15.75" thickBot="1" x14ac:dyDescent="0.3">
      <c r="B75" s="37" t="s">
        <v>166</v>
      </c>
      <c r="C75" s="39">
        <v>54.511654612845703</v>
      </c>
      <c r="D75" s="39">
        <v>154.630181966534</v>
      </c>
      <c r="E75" s="39">
        <v>186.533339750842</v>
      </c>
      <c r="F75" s="39">
        <v>259.01089414021402</v>
      </c>
      <c r="G75" s="39">
        <v>319.02596571704402</v>
      </c>
      <c r="H75" s="39">
        <v>489.006706410638</v>
      </c>
      <c r="I75" s="39">
        <v>515.44563968415696</v>
      </c>
      <c r="J75" s="40">
        <v>501.582754577853</v>
      </c>
    </row>
    <row r="76" spans="2:20" ht="15.75" thickBot="1" x14ac:dyDescent="0.3">
      <c r="B76" s="41" t="s">
        <v>9</v>
      </c>
      <c r="C76" s="67">
        <v>903.73459738210863</v>
      </c>
      <c r="D76" s="68">
        <v>494.82719167868925</v>
      </c>
      <c r="E76" s="68">
        <v>532.23756318730182</v>
      </c>
      <c r="F76" s="68">
        <v>453.87497370388513</v>
      </c>
      <c r="G76" s="68">
        <v>411.72434378573917</v>
      </c>
      <c r="H76" s="68">
        <v>287.63742749106359</v>
      </c>
      <c r="I76" s="68">
        <v>282.23381009327721</v>
      </c>
      <c r="J76" s="69">
        <v>290.69863792816443</v>
      </c>
    </row>
    <row r="78" spans="2:20" x14ac:dyDescent="0.25">
      <c r="B78" s="82" t="s">
        <v>172</v>
      </c>
      <c r="C78" s="327">
        <f>(C76-C67)/C67</f>
        <v>3.1058844367594252</v>
      </c>
      <c r="D78" s="328">
        <f t="shared" ref="D78:J78" si="55">(D76-D67)/D67</f>
        <v>1.2036054493325283</v>
      </c>
      <c r="E78" s="328">
        <f t="shared" si="55"/>
        <v>1.2148444485024992</v>
      </c>
      <c r="F78" s="328">
        <f t="shared" si="55"/>
        <v>0.82731344925155403</v>
      </c>
      <c r="G78" s="328">
        <f t="shared" si="55"/>
        <v>0.63275435501620481</v>
      </c>
      <c r="H78" s="328">
        <f t="shared" si="55"/>
        <v>0.13428605198221155</v>
      </c>
      <c r="I78" s="328">
        <f t="shared" si="55"/>
        <v>0.11386828954661425</v>
      </c>
      <c r="J78" s="329">
        <f t="shared" si="55"/>
        <v>0.12527144979009561</v>
      </c>
    </row>
  </sheetData>
  <mergeCells count="9">
    <mergeCell ref="B69:D69"/>
    <mergeCell ref="B6:C6"/>
    <mergeCell ref="B16:C16"/>
    <mergeCell ref="T6:U6"/>
    <mergeCell ref="T16:U16"/>
    <mergeCell ref="S4:T4"/>
    <mergeCell ref="C26:D26"/>
    <mergeCell ref="B60:C60"/>
    <mergeCell ref="E60:F6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6"/>
  <sheetViews>
    <sheetView tabSelected="1" topLeftCell="K1" zoomScale="85" zoomScaleNormal="85" workbookViewId="0">
      <selection activeCell="AC18" sqref="AC18"/>
    </sheetView>
  </sheetViews>
  <sheetFormatPr defaultRowHeight="15" x14ac:dyDescent="0.25"/>
  <cols>
    <col min="1" max="1" width="3.7109375" style="22" customWidth="1"/>
    <col min="2" max="2" width="23.5703125" style="13" bestFit="1" customWidth="1"/>
    <col min="3" max="3" width="19.85546875" style="13" customWidth="1"/>
    <col min="4" max="4" width="17" style="13" bestFit="1" customWidth="1"/>
    <col min="5" max="5" width="12.5703125" style="13" customWidth="1"/>
    <col min="6" max="6" width="18.7109375" style="13" bestFit="1" customWidth="1"/>
    <col min="7" max="7" width="16" style="13" bestFit="1" customWidth="1"/>
    <col min="8" max="9" width="15.5703125" style="13" customWidth="1"/>
    <col min="10" max="10" width="15.28515625" style="13" customWidth="1"/>
    <col min="11" max="11" width="18.7109375" style="13" bestFit="1" customWidth="1"/>
    <col min="12" max="12" width="13.140625" style="13" bestFit="1" customWidth="1"/>
    <col min="13" max="13" width="16.7109375" style="13" customWidth="1"/>
    <col min="14" max="14" width="16.140625" style="13" customWidth="1"/>
    <col min="15" max="15" width="17.140625" style="13" customWidth="1"/>
    <col min="16" max="16" width="18.5703125" style="13" bestFit="1" customWidth="1"/>
    <col min="17" max="17" width="13.7109375" style="13" bestFit="1" customWidth="1"/>
    <col min="18" max="22" width="13.7109375" style="13" customWidth="1"/>
    <col min="23" max="23" width="9.140625" style="23"/>
    <col min="24" max="24" width="3.7109375" style="13" customWidth="1"/>
    <col min="25" max="25" width="27.85546875" customWidth="1"/>
    <col min="26" max="26" width="16.140625" customWidth="1"/>
    <col min="27" max="27" width="18.5703125" customWidth="1"/>
    <col min="28" max="28" width="18.5703125" bestFit="1" customWidth="1"/>
    <col min="29" max="29" width="15.42578125" customWidth="1"/>
    <col min="30" max="30" width="11.42578125" bestFit="1" customWidth="1"/>
    <col min="31" max="33" width="11.7109375" bestFit="1" customWidth="1"/>
    <col min="34" max="34" width="11.42578125" bestFit="1" customWidth="1"/>
    <col min="35" max="35" width="11.7109375" bestFit="1" customWidth="1"/>
    <col min="36" max="36" width="10.7109375" bestFit="1" customWidth="1"/>
    <col min="37" max="41" width="11.7109375" bestFit="1" customWidth="1"/>
    <col min="42" max="42" width="10.140625" bestFit="1" customWidth="1"/>
  </cols>
  <sheetData>
    <row r="1" spans="1:41" x14ac:dyDescent="0.25">
      <c r="A1" s="361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363"/>
    </row>
    <row r="2" spans="1:41" x14ac:dyDescent="0.25">
      <c r="A2" s="361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3"/>
    </row>
    <row r="3" spans="1:41" ht="15.75" thickBot="1" x14ac:dyDescent="0.3">
      <c r="A3" s="364"/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6"/>
    </row>
    <row r="4" spans="1:41" ht="15.75" thickBot="1" x14ac:dyDescent="0.3">
      <c r="A4" s="19"/>
      <c r="B4" s="20"/>
      <c r="C4" s="367" t="s">
        <v>106</v>
      </c>
      <c r="D4" s="367"/>
      <c r="E4" s="367"/>
      <c r="F4" s="367"/>
      <c r="G4" s="20"/>
      <c r="H4" s="368" t="s">
        <v>107</v>
      </c>
      <c r="I4" s="368"/>
      <c r="J4" s="368"/>
      <c r="K4" s="368"/>
      <c r="L4" s="20"/>
      <c r="M4" s="354" t="s">
        <v>105</v>
      </c>
      <c r="N4" s="354"/>
      <c r="O4" s="354"/>
      <c r="P4" s="354"/>
      <c r="Q4" s="20"/>
      <c r="R4" s="20"/>
      <c r="S4" s="20"/>
      <c r="T4" s="20"/>
      <c r="U4" s="20"/>
      <c r="V4" s="20"/>
      <c r="W4" s="21"/>
      <c r="Y4" s="360" t="s">
        <v>108</v>
      </c>
      <c r="Z4" s="360"/>
      <c r="AA4" s="360"/>
      <c r="AB4" s="360"/>
      <c r="AC4" s="16" t="s">
        <v>109</v>
      </c>
    </row>
    <row r="5" spans="1:41" ht="15.75" thickBot="1" x14ac:dyDescent="0.3">
      <c r="A5" s="13"/>
      <c r="C5" s="353" t="s">
        <v>0</v>
      </c>
      <c r="D5" s="354"/>
      <c r="E5" s="354"/>
      <c r="F5" s="355"/>
      <c r="H5" s="356" t="s">
        <v>3</v>
      </c>
      <c r="I5" s="357"/>
      <c r="J5" s="357"/>
      <c r="K5" s="358"/>
      <c r="M5" s="356" t="s">
        <v>104</v>
      </c>
      <c r="N5" s="357"/>
      <c r="O5" s="357"/>
      <c r="P5" s="358"/>
      <c r="Y5" s="356" t="s">
        <v>158</v>
      </c>
      <c r="Z5" s="357"/>
      <c r="AA5" s="357"/>
      <c r="AB5" s="358"/>
    </row>
    <row r="6" spans="1:41" ht="15.75" thickBot="1" x14ac:dyDescent="0.3">
      <c r="A6" s="13"/>
      <c r="J6" s="24" t="s">
        <v>154</v>
      </c>
      <c r="O6" s="24" t="s">
        <v>154</v>
      </c>
      <c r="AO6" s="267"/>
    </row>
    <row r="7" spans="1:41" ht="15.75" thickBot="1" x14ac:dyDescent="0.3">
      <c r="A7" s="13"/>
      <c r="B7" s="14"/>
      <c r="C7" s="10" t="s">
        <v>1</v>
      </c>
      <c r="D7" s="18" t="s">
        <v>15</v>
      </c>
      <c r="E7" s="11" t="s">
        <v>155</v>
      </c>
      <c r="F7" s="12" t="s">
        <v>2</v>
      </c>
      <c r="G7" s="14"/>
      <c r="H7" s="10" t="s">
        <v>1</v>
      </c>
      <c r="I7" s="18" t="s">
        <v>15</v>
      </c>
      <c r="J7" s="11" t="s">
        <v>155</v>
      </c>
      <c r="K7" s="12" t="s">
        <v>2</v>
      </c>
      <c r="L7" s="14"/>
      <c r="M7" s="10" t="s">
        <v>1</v>
      </c>
      <c r="N7" s="18" t="s">
        <v>15</v>
      </c>
      <c r="O7" s="11" t="s">
        <v>155</v>
      </c>
      <c r="P7" s="12" t="s">
        <v>2</v>
      </c>
      <c r="X7" s="14"/>
      <c r="Y7" s="181" t="s">
        <v>1</v>
      </c>
      <c r="Z7" s="182" t="s">
        <v>15</v>
      </c>
      <c r="AA7" s="183" t="s">
        <v>155</v>
      </c>
      <c r="AB7" s="184" t="s">
        <v>2</v>
      </c>
      <c r="AD7" s="296" t="s">
        <v>156</v>
      </c>
      <c r="AE7" s="297">
        <v>4000</v>
      </c>
      <c r="AF7" s="298">
        <v>4500</v>
      </c>
      <c r="AG7" s="298">
        <v>5000</v>
      </c>
      <c r="AH7" s="298">
        <v>5500</v>
      </c>
      <c r="AI7" s="298">
        <v>6000</v>
      </c>
      <c r="AJ7" s="298">
        <v>6500</v>
      </c>
      <c r="AK7" s="298">
        <v>7000</v>
      </c>
      <c r="AL7" s="299">
        <v>7500</v>
      </c>
      <c r="AO7" s="267"/>
    </row>
    <row r="8" spans="1:41" x14ac:dyDescent="0.25">
      <c r="A8" s="13"/>
      <c r="B8" s="14"/>
      <c r="C8" s="57">
        <v>4000</v>
      </c>
      <c r="D8" s="60">
        <f>C8*(2*PI()/60)</f>
        <v>418.87902047863906</v>
      </c>
      <c r="E8" s="2">
        <v>0</v>
      </c>
      <c r="F8" s="3">
        <v>0</v>
      </c>
      <c r="G8" s="14"/>
      <c r="H8" s="1">
        <v>4000</v>
      </c>
      <c r="I8" s="51">
        <v>418.87902047863901</v>
      </c>
      <c r="J8" s="54">
        <v>0</v>
      </c>
      <c r="K8" s="208">
        <v>4.0713960324314201E-3</v>
      </c>
      <c r="L8" s="14"/>
      <c r="M8" s="1">
        <v>4000</v>
      </c>
      <c r="N8" s="49">
        <f>M8*(2*PI()/60)</f>
        <v>418.87902047863906</v>
      </c>
      <c r="O8" s="2">
        <v>0</v>
      </c>
      <c r="P8" s="262">
        <f>K8</f>
        <v>4.0713960324314201E-3</v>
      </c>
      <c r="X8" s="14"/>
      <c r="Y8" s="1">
        <v>4000</v>
      </c>
      <c r="Z8" s="195">
        <f>Y8*(2*PI()/60)</f>
        <v>418.87902047863906</v>
      </c>
      <c r="AA8" s="452">
        <v>0.33</v>
      </c>
      <c r="AB8" s="450">
        <v>6.1472222222222223E-3</v>
      </c>
      <c r="AD8" s="300">
        <v>0.33</v>
      </c>
      <c r="AE8" s="301">
        <f>'20210513_PIPO_Engine5ADelivery'!AC10</f>
        <v>6.1472222222222223E-3</v>
      </c>
      <c r="AF8" s="302">
        <f>'20210513_PIPO_Engine5ADelivery'!AD10</f>
        <v>7.9222222222222229E-3</v>
      </c>
      <c r="AG8" s="302">
        <f>'20210513_PIPO_Engine5ADelivery'!AE10</f>
        <v>9.9083333333333332E-3</v>
      </c>
      <c r="AH8" s="302">
        <f>'20210513_PIPO_Engine5ADelivery'!AF10</f>
        <v>1.1447777777777779E-2</v>
      </c>
      <c r="AI8" s="302">
        <f>'20210513_PIPO_Engine5ADelivery'!AG10</f>
        <v>1.2980555555555554E-2</v>
      </c>
      <c r="AJ8" s="302">
        <f>'20210513_PIPO_Engine5ADelivery'!AH10</f>
        <v>1.416111111111111E-2</v>
      </c>
      <c r="AK8" s="302">
        <f>'20210513_PIPO_Engine5ADelivery'!AI10</f>
        <v>1.5027222222222221E-2</v>
      </c>
      <c r="AL8" s="303">
        <f>'20210513_PIPO_Engine5ADelivery'!AJ10</f>
        <v>1.6054166666666668E-2</v>
      </c>
      <c r="AO8" s="267"/>
    </row>
    <row r="9" spans="1:41" x14ac:dyDescent="0.25">
      <c r="A9" s="13"/>
      <c r="B9" s="14"/>
      <c r="C9" s="58">
        <v>4000</v>
      </c>
      <c r="D9" s="61">
        <f t="shared" ref="D9:D31" si="0">C9*(2*PI()/60)</f>
        <v>418.87902047863906</v>
      </c>
      <c r="E9" s="4">
        <v>0.5</v>
      </c>
      <c r="F9" s="6">
        <v>9.7959999999999992E-3</v>
      </c>
      <c r="G9" s="14"/>
      <c r="H9" s="5">
        <v>4000</v>
      </c>
      <c r="I9" s="52">
        <v>418.87902047863901</v>
      </c>
      <c r="J9" s="55">
        <v>0.5</v>
      </c>
      <c r="K9" s="209">
        <v>1.6642189320734899E-2</v>
      </c>
      <c r="L9" s="14"/>
      <c r="M9" s="5">
        <v>4000</v>
      </c>
      <c r="N9" s="40">
        <f t="shared" ref="N9:N31" si="1">M9*(2*PI()/60)</f>
        <v>418.87902047863906</v>
      </c>
      <c r="O9" s="4">
        <v>0.33</v>
      </c>
      <c r="P9" s="209">
        <v>6.1055555555555559E-3</v>
      </c>
      <c r="X9" s="14"/>
      <c r="Y9" s="5">
        <v>4000</v>
      </c>
      <c r="Z9" s="39">
        <f t="shared" ref="Z9:Z31" si="2">Y9*(2*PI()/60)</f>
        <v>418.87902047863906</v>
      </c>
      <c r="AA9" s="453">
        <v>0.66</v>
      </c>
      <c r="AB9" s="449">
        <v>1.0000555555555556E-2</v>
      </c>
      <c r="AD9" s="304">
        <v>0.66</v>
      </c>
      <c r="AE9" s="305">
        <f>'20210513_PIPO_Engine5ADelivery'!AC21</f>
        <v>1.0000555555555556E-2</v>
      </c>
      <c r="AF9" s="274">
        <f>'20210513_PIPO_Engine5ADelivery'!AD21</f>
        <v>1.3619444444444444E-2</v>
      </c>
      <c r="AG9" s="274">
        <f>'20210513_PIPO_Engine5ADelivery'!AE21</f>
        <v>1.6152777777777776E-2</v>
      </c>
      <c r="AH9" s="274">
        <f>'20210513_PIPO_Engine5ADelivery'!AF21</f>
        <v>1.7749722222222222E-2</v>
      </c>
      <c r="AI9" s="274">
        <f>'20210513_PIPO_Engine5ADelivery'!AG21</f>
        <v>2.08875E-2</v>
      </c>
      <c r="AJ9" s="274">
        <f>'20210513_PIPO_Engine5ADelivery'!AH21</f>
        <v>2.3302777777777776E-2</v>
      </c>
      <c r="AK9" s="274">
        <f>'20210513_PIPO_Engine5ADelivery'!AI21</f>
        <v>2.3858055555555556E-2</v>
      </c>
      <c r="AL9" s="306">
        <f>'20210513_PIPO_Engine5ADelivery'!AJ21</f>
        <v>2.4995555555555556E-2</v>
      </c>
      <c r="AO9" s="267"/>
    </row>
    <row r="10" spans="1:41" ht="15.75" thickBot="1" x14ac:dyDescent="0.3">
      <c r="A10" s="13"/>
      <c r="B10" s="14"/>
      <c r="C10" s="58">
        <v>4000</v>
      </c>
      <c r="D10" s="61">
        <f t="shared" si="0"/>
        <v>418.87902047863906</v>
      </c>
      <c r="E10" s="4">
        <v>1</v>
      </c>
      <c r="F10" s="6">
        <v>1.9591999999999998E-2</v>
      </c>
      <c r="G10" s="14"/>
      <c r="H10" s="5">
        <v>4000</v>
      </c>
      <c r="I10" s="52">
        <v>418.87902047863901</v>
      </c>
      <c r="J10" s="55">
        <v>1</v>
      </c>
      <c r="K10" s="209">
        <v>1.3684463398381299E-2</v>
      </c>
      <c r="L10" s="14"/>
      <c r="M10" s="5">
        <v>4000</v>
      </c>
      <c r="N10" s="40">
        <f t="shared" si="1"/>
        <v>418.87902047863906</v>
      </c>
      <c r="O10" s="4">
        <v>1</v>
      </c>
      <c r="P10" s="264">
        <v>1.601388888888889E-2</v>
      </c>
      <c r="X10" s="14"/>
      <c r="Y10" s="5">
        <v>4000</v>
      </c>
      <c r="Z10" s="39">
        <f t="shared" si="2"/>
        <v>418.87902047863906</v>
      </c>
      <c r="AA10" s="453">
        <v>1</v>
      </c>
      <c r="AB10" s="268">
        <v>1.5826666666666666E-2</v>
      </c>
      <c r="AD10" s="307">
        <v>1</v>
      </c>
      <c r="AE10" s="308">
        <v>1.5826666666666666E-2</v>
      </c>
      <c r="AF10" s="309">
        <v>1.9363055555555553E-2</v>
      </c>
      <c r="AG10" s="309">
        <v>2.4102500000000002E-2</v>
      </c>
      <c r="AH10" s="309">
        <v>2.836E-2</v>
      </c>
      <c r="AI10" s="309">
        <v>3.1469722222222218E-2</v>
      </c>
      <c r="AJ10" s="309">
        <v>3.4513055555555554E-2</v>
      </c>
      <c r="AK10" s="309">
        <v>3.6487222222222226E-2</v>
      </c>
      <c r="AL10" s="310">
        <v>3.7398611111111112E-2</v>
      </c>
      <c r="AO10" s="267"/>
    </row>
    <row r="11" spans="1:41" x14ac:dyDescent="0.25">
      <c r="A11" s="13"/>
      <c r="B11" s="14"/>
      <c r="C11" s="58">
        <v>4500</v>
      </c>
      <c r="D11" s="61">
        <f t="shared" si="0"/>
        <v>471.23889803846896</v>
      </c>
      <c r="E11" s="4">
        <v>0</v>
      </c>
      <c r="F11" s="6">
        <v>0</v>
      </c>
      <c r="G11" s="14"/>
      <c r="H11" s="5">
        <v>4500</v>
      </c>
      <c r="I11" s="52">
        <v>471.23889803846902</v>
      </c>
      <c r="J11" s="55">
        <v>0</v>
      </c>
      <c r="K11" s="209">
        <v>2.4470035431787399E-3</v>
      </c>
      <c r="L11" s="14"/>
      <c r="M11" s="5">
        <v>4500</v>
      </c>
      <c r="N11" s="40">
        <f t="shared" si="1"/>
        <v>471.23889803846896</v>
      </c>
      <c r="O11" s="4">
        <v>0</v>
      </c>
      <c r="P11" s="263">
        <f>K11</f>
        <v>2.4470035431787399E-3</v>
      </c>
      <c r="X11" s="14"/>
      <c r="Y11" s="5">
        <v>4500</v>
      </c>
      <c r="Z11" s="39">
        <f t="shared" si="2"/>
        <v>471.23889803846896</v>
      </c>
      <c r="AA11" s="453">
        <v>0.33</v>
      </c>
      <c r="AB11" s="448">
        <v>7.9222222222222229E-3</v>
      </c>
      <c r="AD11" s="311"/>
      <c r="AE11" s="311"/>
      <c r="AF11" s="311"/>
      <c r="AG11" s="311"/>
      <c r="AH11" s="311"/>
      <c r="AI11" s="311"/>
      <c r="AJ11" s="311"/>
      <c r="AK11" s="311"/>
      <c r="AL11" s="311"/>
      <c r="AO11" s="267"/>
    </row>
    <row r="12" spans="1:41" ht="15.75" thickBot="1" x14ac:dyDescent="0.3">
      <c r="A12" s="13"/>
      <c r="B12" s="14"/>
      <c r="C12" s="58">
        <v>4500</v>
      </c>
      <c r="D12" s="61">
        <f t="shared" si="0"/>
        <v>471.23889803846896</v>
      </c>
      <c r="E12" s="4">
        <v>0.5</v>
      </c>
      <c r="F12" s="6">
        <v>1.1864E-2</v>
      </c>
      <c r="G12" s="14"/>
      <c r="H12" s="5">
        <v>4500</v>
      </c>
      <c r="I12" s="52">
        <v>471.23889803846902</v>
      </c>
      <c r="J12" s="55">
        <v>0.5</v>
      </c>
      <c r="K12" s="209">
        <v>1.6524715577890401E-2</v>
      </c>
      <c r="L12" s="14"/>
      <c r="M12" s="5">
        <v>4500</v>
      </c>
      <c r="N12" s="40">
        <f t="shared" si="1"/>
        <v>471.23889803846896</v>
      </c>
      <c r="O12" s="4">
        <v>0.33</v>
      </c>
      <c r="P12" s="209">
        <v>7.9249999999999998E-3</v>
      </c>
      <c r="X12" s="14"/>
      <c r="Y12" s="5">
        <v>4500</v>
      </c>
      <c r="Z12" s="39">
        <f t="shared" si="2"/>
        <v>471.23889803846896</v>
      </c>
      <c r="AA12" s="453">
        <v>0.66</v>
      </c>
      <c r="AB12" s="449">
        <v>1.3619444444444444E-2</v>
      </c>
      <c r="AD12" s="311"/>
      <c r="AE12" s="311"/>
      <c r="AF12" s="311"/>
      <c r="AG12" s="311"/>
      <c r="AH12" s="311"/>
      <c r="AI12" s="311"/>
      <c r="AJ12" s="311"/>
      <c r="AK12" s="311"/>
      <c r="AL12" s="311"/>
      <c r="AO12" s="267"/>
    </row>
    <row r="13" spans="1:41" ht="15.75" thickBot="1" x14ac:dyDescent="0.3">
      <c r="A13" s="13"/>
      <c r="B13" s="14"/>
      <c r="C13" s="58">
        <v>4500</v>
      </c>
      <c r="D13" s="61">
        <f t="shared" si="0"/>
        <v>471.23889803846896</v>
      </c>
      <c r="E13" s="4">
        <v>1</v>
      </c>
      <c r="F13" s="6">
        <v>2.3727999999999999E-2</v>
      </c>
      <c r="G13" s="14"/>
      <c r="H13" s="5">
        <v>4500</v>
      </c>
      <c r="I13" s="52">
        <v>471.23889803846902</v>
      </c>
      <c r="J13" s="55">
        <v>1</v>
      </c>
      <c r="K13" s="209">
        <v>2.1254227414240202E-2</v>
      </c>
      <c r="L13" s="14"/>
      <c r="M13" s="5">
        <v>4500</v>
      </c>
      <c r="N13" s="40">
        <f t="shared" si="1"/>
        <v>471.23889803846896</v>
      </c>
      <c r="O13" s="4">
        <v>1</v>
      </c>
      <c r="P13" s="264">
        <v>2.0324444444444447E-2</v>
      </c>
      <c r="X13" s="14"/>
      <c r="Y13" s="5">
        <v>4500</v>
      </c>
      <c r="Z13" s="39">
        <f t="shared" si="2"/>
        <v>471.23889803846896</v>
      </c>
      <c r="AA13" s="453">
        <v>1</v>
      </c>
      <c r="AB13" s="268">
        <v>1.9363055555555553E-2</v>
      </c>
      <c r="AD13" s="296" t="s">
        <v>157</v>
      </c>
      <c r="AE13" s="297">
        <v>4000</v>
      </c>
      <c r="AF13" s="298">
        <v>4500</v>
      </c>
      <c r="AG13" s="298">
        <v>5000</v>
      </c>
      <c r="AH13" s="298">
        <v>5500</v>
      </c>
      <c r="AI13" s="298">
        <v>6000</v>
      </c>
      <c r="AJ13" s="298">
        <v>6500</v>
      </c>
      <c r="AK13" s="298">
        <v>7000</v>
      </c>
      <c r="AL13" s="299">
        <v>7500</v>
      </c>
      <c r="AO13" s="267"/>
    </row>
    <row r="14" spans="1:41" x14ac:dyDescent="0.25">
      <c r="A14" s="13"/>
      <c r="B14" s="14"/>
      <c r="C14" s="58">
        <v>5000</v>
      </c>
      <c r="D14" s="61">
        <f t="shared" si="0"/>
        <v>523.59877559829886</v>
      </c>
      <c r="E14" s="4">
        <v>0</v>
      </c>
      <c r="F14" s="6">
        <v>0</v>
      </c>
      <c r="G14" s="14"/>
      <c r="H14" s="5">
        <v>5000</v>
      </c>
      <c r="I14" s="52">
        <v>523.59877559829897</v>
      </c>
      <c r="J14" s="55">
        <v>0</v>
      </c>
      <c r="K14" s="209">
        <v>1.68400741522172E-3</v>
      </c>
      <c r="L14" s="14"/>
      <c r="M14" s="5">
        <v>5000</v>
      </c>
      <c r="N14" s="40">
        <f t="shared" si="1"/>
        <v>523.59877559829886</v>
      </c>
      <c r="O14" s="4">
        <v>0</v>
      </c>
      <c r="P14" s="263">
        <f>K14</f>
        <v>1.68400741522172E-3</v>
      </c>
      <c r="X14" s="14"/>
      <c r="Y14" s="5">
        <v>5000</v>
      </c>
      <c r="Z14" s="39">
        <f t="shared" si="2"/>
        <v>523.59877559829886</v>
      </c>
      <c r="AA14" s="453">
        <v>0.33</v>
      </c>
      <c r="AB14" s="448">
        <v>9.9083333333333332E-3</v>
      </c>
      <c r="AD14" s="300">
        <v>0.33</v>
      </c>
      <c r="AE14" s="301">
        <f>AE8*3600</f>
        <v>22.13</v>
      </c>
      <c r="AF14" s="302">
        <f t="shared" ref="AF14:AL14" si="3">AF8*3600</f>
        <v>28.520000000000003</v>
      </c>
      <c r="AG14" s="302">
        <f t="shared" si="3"/>
        <v>35.67</v>
      </c>
      <c r="AH14" s="302">
        <f t="shared" si="3"/>
        <v>41.212000000000003</v>
      </c>
      <c r="AI14" s="302">
        <f t="shared" si="3"/>
        <v>46.73</v>
      </c>
      <c r="AJ14" s="302">
        <f t="shared" si="3"/>
        <v>50.98</v>
      </c>
      <c r="AK14" s="302">
        <f t="shared" si="3"/>
        <v>54.097999999999999</v>
      </c>
      <c r="AL14" s="303">
        <f t="shared" si="3"/>
        <v>57.795000000000002</v>
      </c>
      <c r="AO14" s="267"/>
    </row>
    <row r="15" spans="1:41" x14ac:dyDescent="0.25">
      <c r="A15" s="13"/>
      <c r="B15" s="14"/>
      <c r="C15" s="58">
        <v>5000</v>
      </c>
      <c r="D15" s="61">
        <f t="shared" si="0"/>
        <v>523.59877559829886</v>
      </c>
      <c r="E15" s="4">
        <v>0.5</v>
      </c>
      <c r="F15" s="6">
        <v>1.3828E-2</v>
      </c>
      <c r="G15" s="14"/>
      <c r="H15" s="5">
        <v>5000</v>
      </c>
      <c r="I15" s="52">
        <v>523.59877559829897</v>
      </c>
      <c r="J15" s="55">
        <v>0.5</v>
      </c>
      <c r="K15" s="209">
        <v>1.7359281927750901E-2</v>
      </c>
      <c r="L15" s="14"/>
      <c r="M15" s="5">
        <v>5000</v>
      </c>
      <c r="N15" s="40">
        <f t="shared" si="1"/>
        <v>523.59877559829886</v>
      </c>
      <c r="O15" s="4">
        <v>0.33</v>
      </c>
      <c r="P15" s="209">
        <v>9.8916666666666667E-3</v>
      </c>
      <c r="X15" s="14"/>
      <c r="Y15" s="5">
        <v>5000</v>
      </c>
      <c r="Z15" s="39">
        <f t="shared" si="2"/>
        <v>523.59877559829886</v>
      </c>
      <c r="AA15" s="453">
        <v>0.66</v>
      </c>
      <c r="AB15" s="449">
        <v>1.6152777777777776E-2</v>
      </c>
      <c r="AD15" s="304">
        <v>0.66</v>
      </c>
      <c r="AE15" s="305">
        <f t="shared" ref="AE15:AL16" si="4">AE9*3600</f>
        <v>36.002000000000002</v>
      </c>
      <c r="AF15" s="274">
        <f t="shared" si="4"/>
        <v>49.03</v>
      </c>
      <c r="AG15" s="274">
        <f t="shared" si="4"/>
        <v>58.149999999999991</v>
      </c>
      <c r="AH15" s="274">
        <f t="shared" si="4"/>
        <v>63.899000000000001</v>
      </c>
      <c r="AI15" s="274">
        <f t="shared" si="4"/>
        <v>75.194999999999993</v>
      </c>
      <c r="AJ15" s="274">
        <f t="shared" si="4"/>
        <v>83.89</v>
      </c>
      <c r="AK15" s="274">
        <f t="shared" si="4"/>
        <v>85.888999999999996</v>
      </c>
      <c r="AL15" s="306">
        <f t="shared" si="4"/>
        <v>89.983999999999995</v>
      </c>
      <c r="AO15" s="267"/>
    </row>
    <row r="16" spans="1:41" ht="15.75" thickBot="1" x14ac:dyDescent="0.3">
      <c r="A16" s="13"/>
      <c r="B16" s="14"/>
      <c r="C16" s="58">
        <v>5000</v>
      </c>
      <c r="D16" s="61">
        <f t="shared" si="0"/>
        <v>523.59877559829886</v>
      </c>
      <c r="E16" s="4">
        <v>1</v>
      </c>
      <c r="F16" s="6">
        <v>2.7656E-2</v>
      </c>
      <c r="G16" s="14"/>
      <c r="H16" s="5">
        <v>5000</v>
      </c>
      <c r="I16" s="52">
        <v>523.59877559829897</v>
      </c>
      <c r="J16" s="55">
        <v>1</v>
      </c>
      <c r="K16" s="209">
        <v>2.7577791722827E-2</v>
      </c>
      <c r="L16" s="14"/>
      <c r="M16" s="5">
        <v>5000</v>
      </c>
      <c r="N16" s="40">
        <f t="shared" si="1"/>
        <v>523.59877559829886</v>
      </c>
      <c r="O16" s="4">
        <v>1</v>
      </c>
      <c r="P16" s="264">
        <v>2.5183333333333332E-2</v>
      </c>
      <c r="X16" s="14"/>
      <c r="Y16" s="5">
        <v>5000</v>
      </c>
      <c r="Z16" s="39">
        <f t="shared" si="2"/>
        <v>523.59877559829886</v>
      </c>
      <c r="AA16" s="453">
        <v>1</v>
      </c>
      <c r="AB16" s="268">
        <v>2.4102500000000002E-2</v>
      </c>
      <c r="AD16" s="307">
        <v>1</v>
      </c>
      <c r="AE16" s="308">
        <f t="shared" si="4"/>
        <v>56.975999999999999</v>
      </c>
      <c r="AF16" s="309">
        <f t="shared" si="4"/>
        <v>69.706999999999994</v>
      </c>
      <c r="AG16" s="309">
        <f t="shared" si="4"/>
        <v>86.769000000000005</v>
      </c>
      <c r="AH16" s="309">
        <f t="shared" si="4"/>
        <v>102.096</v>
      </c>
      <c r="AI16" s="309">
        <f t="shared" si="4"/>
        <v>113.29099999999998</v>
      </c>
      <c r="AJ16" s="309">
        <f t="shared" si="4"/>
        <v>124.247</v>
      </c>
      <c r="AK16" s="309">
        <f t="shared" si="4"/>
        <v>131.35400000000001</v>
      </c>
      <c r="AL16" s="310">
        <f t="shared" si="4"/>
        <v>134.63499999999999</v>
      </c>
      <c r="AO16" s="267"/>
    </row>
    <row r="17" spans="1:41" x14ac:dyDescent="0.25">
      <c r="A17" s="13"/>
      <c r="B17" s="14"/>
      <c r="C17" s="58">
        <v>5500</v>
      </c>
      <c r="D17" s="61">
        <f t="shared" si="0"/>
        <v>575.95865315812875</v>
      </c>
      <c r="E17" s="4">
        <v>0</v>
      </c>
      <c r="F17" s="6">
        <v>0</v>
      </c>
      <c r="G17" s="14"/>
      <c r="H17" s="5">
        <v>5500</v>
      </c>
      <c r="I17" s="52">
        <v>575.95865315812898</v>
      </c>
      <c r="J17" s="55">
        <v>0</v>
      </c>
      <c r="K17" s="209">
        <v>1.7824076485603801E-3</v>
      </c>
      <c r="L17" s="14"/>
      <c r="M17" s="5">
        <v>5500</v>
      </c>
      <c r="N17" s="40">
        <f t="shared" si="1"/>
        <v>575.95865315812875</v>
      </c>
      <c r="O17" s="4">
        <v>0</v>
      </c>
      <c r="P17" s="263">
        <f>K17</f>
        <v>1.7824076485603801E-3</v>
      </c>
      <c r="X17" s="14"/>
      <c r="Y17" s="5">
        <v>5500</v>
      </c>
      <c r="Z17" s="39">
        <f t="shared" si="2"/>
        <v>575.95865315812875</v>
      </c>
      <c r="AA17" s="453">
        <v>0.33</v>
      </c>
      <c r="AB17" s="448">
        <v>1.1447777777777779E-2</v>
      </c>
      <c r="AO17" s="267"/>
    </row>
    <row r="18" spans="1:41" x14ac:dyDescent="0.25">
      <c r="A18" s="13"/>
      <c r="B18" s="14"/>
      <c r="C18" s="58">
        <v>5500</v>
      </c>
      <c r="D18" s="61">
        <f t="shared" si="0"/>
        <v>575.95865315812875</v>
      </c>
      <c r="E18" s="4">
        <v>0.5</v>
      </c>
      <c r="F18" s="6">
        <v>1.6043999999999999E-2</v>
      </c>
      <c r="G18" s="14"/>
      <c r="H18" s="5">
        <v>5500</v>
      </c>
      <c r="I18" s="52">
        <v>575.95865315812898</v>
      </c>
      <c r="J18" s="55">
        <v>0.5</v>
      </c>
      <c r="K18" s="209">
        <v>1.9145888370316701E-2</v>
      </c>
      <c r="L18" s="14"/>
      <c r="M18" s="5">
        <v>5500</v>
      </c>
      <c r="N18" s="40">
        <f t="shared" si="1"/>
        <v>575.95865315812875</v>
      </c>
      <c r="O18" s="4">
        <v>0.33</v>
      </c>
      <c r="P18" s="209">
        <v>1.1438888888888889E-2</v>
      </c>
      <c r="X18" s="14"/>
      <c r="Y18" s="5">
        <v>5500</v>
      </c>
      <c r="Z18" s="39">
        <f t="shared" si="2"/>
        <v>575.95865315812875</v>
      </c>
      <c r="AA18" s="453">
        <v>0.66</v>
      </c>
      <c r="AB18" s="449">
        <v>1.7749722222222222E-2</v>
      </c>
      <c r="AO18" s="267"/>
    </row>
    <row r="19" spans="1:41" x14ac:dyDescent="0.25">
      <c r="A19" s="13"/>
      <c r="B19" s="14"/>
      <c r="C19" s="58">
        <v>5500</v>
      </c>
      <c r="D19" s="61">
        <f t="shared" si="0"/>
        <v>575.95865315812875</v>
      </c>
      <c r="E19" s="4">
        <v>1</v>
      </c>
      <c r="F19" s="6">
        <v>3.2088999999999999E-2</v>
      </c>
      <c r="G19" s="14"/>
      <c r="H19" s="5">
        <v>5500</v>
      </c>
      <c r="I19" s="52">
        <v>575.95865315812898</v>
      </c>
      <c r="J19" s="55">
        <v>1</v>
      </c>
      <c r="K19" s="209">
        <v>3.2655156324141503E-2</v>
      </c>
      <c r="L19" s="14"/>
      <c r="M19" s="5">
        <v>5500</v>
      </c>
      <c r="N19" s="40">
        <f t="shared" si="1"/>
        <v>575.95865315812875</v>
      </c>
      <c r="O19" s="4">
        <v>1</v>
      </c>
      <c r="P19" s="264">
        <v>3.0325000000000001E-2</v>
      </c>
      <c r="X19" s="14"/>
      <c r="Y19" s="5">
        <v>5500</v>
      </c>
      <c r="Z19" s="39">
        <f t="shared" si="2"/>
        <v>575.95865315812875</v>
      </c>
      <c r="AA19" s="453">
        <v>1</v>
      </c>
      <c r="AB19" s="268">
        <v>2.836E-2</v>
      </c>
      <c r="AO19" s="267"/>
    </row>
    <row r="20" spans="1:41" x14ac:dyDescent="0.25">
      <c r="A20" s="13"/>
      <c r="B20" s="14"/>
      <c r="C20" s="58">
        <v>6000</v>
      </c>
      <c r="D20" s="61">
        <f t="shared" si="0"/>
        <v>628.31853071795865</v>
      </c>
      <c r="E20" s="4">
        <v>0</v>
      </c>
      <c r="F20" s="6">
        <v>0</v>
      </c>
      <c r="G20" s="14"/>
      <c r="H20" s="5">
        <v>6000</v>
      </c>
      <c r="I20" s="52">
        <v>628.31853071795899</v>
      </c>
      <c r="J20" s="55">
        <v>0</v>
      </c>
      <c r="K20" s="209">
        <v>2.7422042431947198E-3</v>
      </c>
      <c r="L20" s="14"/>
      <c r="M20" s="5">
        <v>6000</v>
      </c>
      <c r="N20" s="40">
        <f t="shared" si="1"/>
        <v>628.31853071795865</v>
      </c>
      <c r="O20" s="4">
        <v>0</v>
      </c>
      <c r="P20" s="263">
        <f>K20</f>
        <v>2.7422042431947198E-3</v>
      </c>
      <c r="X20" s="14"/>
      <c r="Y20" s="5">
        <v>6000</v>
      </c>
      <c r="Z20" s="39">
        <f t="shared" si="2"/>
        <v>628.31853071795865</v>
      </c>
      <c r="AA20" s="453">
        <v>0.33</v>
      </c>
      <c r="AB20" s="448">
        <v>1.2980555555555554E-2</v>
      </c>
      <c r="AO20" s="267"/>
    </row>
    <row r="21" spans="1:41" x14ac:dyDescent="0.25">
      <c r="A21" s="13"/>
      <c r="B21" s="14"/>
      <c r="C21" s="58">
        <v>6000</v>
      </c>
      <c r="D21" s="61">
        <f t="shared" si="0"/>
        <v>628.31853071795865</v>
      </c>
      <c r="E21" s="4">
        <v>0.5</v>
      </c>
      <c r="F21" s="6">
        <v>1.7860000000000001E-2</v>
      </c>
      <c r="G21" s="14"/>
      <c r="H21" s="5">
        <v>6000</v>
      </c>
      <c r="I21" s="52">
        <v>628.31853071795899</v>
      </c>
      <c r="J21" s="55">
        <v>0.5</v>
      </c>
      <c r="K21" s="209">
        <v>2.1884534905587599E-2</v>
      </c>
      <c r="L21" s="14"/>
      <c r="M21" s="5">
        <v>6000</v>
      </c>
      <c r="N21" s="40">
        <f t="shared" si="1"/>
        <v>628.31853071795865</v>
      </c>
      <c r="O21" s="4">
        <v>0.33</v>
      </c>
      <c r="P21" s="209">
        <v>1.2999999999999999E-2</v>
      </c>
      <c r="X21" s="14"/>
      <c r="Y21" s="5">
        <v>6000</v>
      </c>
      <c r="Z21" s="39">
        <f t="shared" si="2"/>
        <v>628.31853071795865</v>
      </c>
      <c r="AA21" s="453">
        <v>0.66</v>
      </c>
      <c r="AB21" s="449">
        <v>2.08875E-2</v>
      </c>
      <c r="AO21" s="267"/>
    </row>
    <row r="22" spans="1:41" x14ac:dyDescent="0.25">
      <c r="A22" s="13"/>
      <c r="B22" s="14"/>
      <c r="C22" s="58">
        <v>6000</v>
      </c>
      <c r="D22" s="61">
        <f t="shared" si="0"/>
        <v>628.31853071795865</v>
      </c>
      <c r="E22" s="4">
        <v>1</v>
      </c>
      <c r="F22" s="6">
        <v>3.5719000000000001E-2</v>
      </c>
      <c r="G22" s="14"/>
      <c r="H22" s="5">
        <v>6000</v>
      </c>
      <c r="I22" s="52">
        <v>628.31853071795899</v>
      </c>
      <c r="J22" s="55">
        <v>1</v>
      </c>
      <c r="K22" s="209">
        <v>3.64863212181838E-2</v>
      </c>
      <c r="L22" s="14"/>
      <c r="M22" s="5">
        <v>6000</v>
      </c>
      <c r="N22" s="40">
        <f t="shared" si="1"/>
        <v>628.31853071795865</v>
      </c>
      <c r="O22" s="4">
        <v>1</v>
      </c>
      <c r="P22" s="264">
        <v>3.4438888888888887E-2</v>
      </c>
      <c r="X22" s="14"/>
      <c r="Y22" s="5">
        <v>6000</v>
      </c>
      <c r="Z22" s="39">
        <f t="shared" si="2"/>
        <v>628.31853071795865</v>
      </c>
      <c r="AA22" s="453">
        <v>1</v>
      </c>
      <c r="AB22" s="268">
        <v>3.1469722222222218E-2</v>
      </c>
      <c r="AO22" s="267"/>
    </row>
    <row r="23" spans="1:41" x14ac:dyDescent="0.25">
      <c r="A23" s="13"/>
      <c r="B23" s="14"/>
      <c r="C23" s="58">
        <v>6500</v>
      </c>
      <c r="D23" s="61">
        <f t="shared" si="0"/>
        <v>680.67840827778844</v>
      </c>
      <c r="E23" s="4">
        <v>0</v>
      </c>
      <c r="F23" s="6">
        <v>0</v>
      </c>
      <c r="G23" s="14"/>
      <c r="H23" s="5">
        <v>6500</v>
      </c>
      <c r="I23" s="52">
        <v>680.678408277789</v>
      </c>
      <c r="J23" s="55">
        <v>0</v>
      </c>
      <c r="K23" s="209">
        <v>4.5633971991247101E-3</v>
      </c>
      <c r="L23" s="14"/>
      <c r="M23" s="5">
        <v>6500</v>
      </c>
      <c r="N23" s="40">
        <f t="shared" si="1"/>
        <v>680.67840827778844</v>
      </c>
      <c r="O23" s="4">
        <v>0</v>
      </c>
      <c r="P23" s="263">
        <f>K23</f>
        <v>4.5633971991247101E-3</v>
      </c>
      <c r="X23" s="14"/>
      <c r="Y23" s="5">
        <v>6500</v>
      </c>
      <c r="Z23" s="39">
        <f t="shared" si="2"/>
        <v>680.67840827778844</v>
      </c>
      <c r="AA23" s="453">
        <v>0.33</v>
      </c>
      <c r="AB23" s="448">
        <v>1.416111111111111E-2</v>
      </c>
      <c r="AO23" s="267"/>
    </row>
    <row r="24" spans="1:41" x14ac:dyDescent="0.25">
      <c r="A24" s="13"/>
      <c r="B24" s="14"/>
      <c r="C24" s="58">
        <v>6500</v>
      </c>
      <c r="D24" s="61">
        <f t="shared" si="0"/>
        <v>680.67840827778844</v>
      </c>
      <c r="E24" s="4">
        <v>0.5</v>
      </c>
      <c r="F24" s="6">
        <v>1.9231999999999999E-2</v>
      </c>
      <c r="G24" s="14"/>
      <c r="H24" s="5">
        <v>6500</v>
      </c>
      <c r="I24" s="52">
        <v>680.678408277789</v>
      </c>
      <c r="J24" s="55">
        <v>0.5</v>
      </c>
      <c r="K24" s="209">
        <v>2.5575221533563602E-2</v>
      </c>
      <c r="L24" s="14"/>
      <c r="M24" s="5">
        <v>6500</v>
      </c>
      <c r="N24" s="40">
        <f t="shared" si="1"/>
        <v>680.67840827778844</v>
      </c>
      <c r="O24" s="4">
        <v>0.33</v>
      </c>
      <c r="P24" s="209">
        <v>1.4128888888888889E-2</v>
      </c>
      <c r="X24" s="14"/>
      <c r="Y24" s="5">
        <v>6500</v>
      </c>
      <c r="Z24" s="39">
        <f t="shared" si="2"/>
        <v>680.67840827778844</v>
      </c>
      <c r="AA24" s="453">
        <v>0.66</v>
      </c>
      <c r="AB24" s="449">
        <v>2.3302777777777776E-2</v>
      </c>
      <c r="AO24" s="267"/>
    </row>
    <row r="25" spans="1:41" x14ac:dyDescent="0.25">
      <c r="A25" s="13"/>
      <c r="B25" s="14"/>
      <c r="C25" s="58">
        <v>6500</v>
      </c>
      <c r="D25" s="61">
        <f t="shared" si="0"/>
        <v>680.67840827778844</v>
      </c>
      <c r="E25" s="4">
        <v>1</v>
      </c>
      <c r="F25" s="6">
        <v>3.8463999999999998E-2</v>
      </c>
      <c r="G25" s="14"/>
      <c r="H25" s="5">
        <v>6500</v>
      </c>
      <c r="I25" s="52">
        <v>680.678408277789</v>
      </c>
      <c r="J25" s="55">
        <v>1</v>
      </c>
      <c r="K25" s="209">
        <v>3.9071286404953803E-2</v>
      </c>
      <c r="L25" s="14"/>
      <c r="M25" s="5">
        <v>6500</v>
      </c>
      <c r="N25" s="40">
        <f t="shared" si="1"/>
        <v>680.67840827778844</v>
      </c>
      <c r="O25" s="4">
        <v>1</v>
      </c>
      <c r="P25" s="264">
        <v>3.7528333333333337E-2</v>
      </c>
      <c r="X25" s="14"/>
      <c r="Y25" s="5">
        <v>6500</v>
      </c>
      <c r="Z25" s="39">
        <f t="shared" si="2"/>
        <v>680.67840827778844</v>
      </c>
      <c r="AA25" s="453">
        <v>1</v>
      </c>
      <c r="AB25" s="268">
        <v>3.4513055555555554E-2</v>
      </c>
      <c r="AN25" s="267"/>
    </row>
    <row r="26" spans="1:41" x14ac:dyDescent="0.25">
      <c r="A26" s="13"/>
      <c r="B26" s="14"/>
      <c r="C26" s="58">
        <v>7000</v>
      </c>
      <c r="D26" s="61">
        <f t="shared" si="0"/>
        <v>733.03828583761833</v>
      </c>
      <c r="E26" s="4">
        <v>0</v>
      </c>
      <c r="F26" s="6">
        <v>0</v>
      </c>
      <c r="G26" s="14"/>
      <c r="H26" s="5">
        <v>7000</v>
      </c>
      <c r="I26" s="52">
        <v>733.03828583761799</v>
      </c>
      <c r="J26" s="55">
        <v>0</v>
      </c>
      <c r="K26" s="209">
        <v>7.2459865163503898E-3</v>
      </c>
      <c r="L26" s="14"/>
      <c r="M26" s="5">
        <v>7000</v>
      </c>
      <c r="N26" s="40">
        <f t="shared" si="1"/>
        <v>733.03828583761833</v>
      </c>
      <c r="O26" s="4">
        <v>0</v>
      </c>
      <c r="P26" s="263">
        <f>K26</f>
        <v>7.2459865163503898E-3</v>
      </c>
      <c r="X26" s="14"/>
      <c r="Y26" s="5">
        <v>7000</v>
      </c>
      <c r="Z26" s="39">
        <f t="shared" si="2"/>
        <v>733.03828583761833</v>
      </c>
      <c r="AA26" s="453">
        <v>0.33</v>
      </c>
      <c r="AB26" s="448">
        <v>1.5027222222222221E-2</v>
      </c>
      <c r="AN26" s="267"/>
    </row>
    <row r="27" spans="1:41" x14ac:dyDescent="0.25">
      <c r="A27" s="13"/>
      <c r="B27" s="14"/>
      <c r="C27" s="58">
        <v>7000</v>
      </c>
      <c r="D27" s="61">
        <f t="shared" si="0"/>
        <v>733.03828583761833</v>
      </c>
      <c r="E27" s="4">
        <v>0.5</v>
      </c>
      <c r="F27" s="6">
        <v>2.0372000000000001E-2</v>
      </c>
      <c r="G27" s="14"/>
      <c r="H27" s="5">
        <v>7000</v>
      </c>
      <c r="I27" s="52">
        <v>733.03828583761799</v>
      </c>
      <c r="J27" s="55">
        <v>0.5</v>
      </c>
      <c r="K27" s="209">
        <v>3.02179482542448E-2</v>
      </c>
      <c r="L27" s="14"/>
      <c r="M27" s="5">
        <v>7000</v>
      </c>
      <c r="N27" s="40">
        <f t="shared" si="1"/>
        <v>733.03828583761833</v>
      </c>
      <c r="O27" s="4">
        <v>0.33</v>
      </c>
      <c r="P27" s="209">
        <v>1.5025E-2</v>
      </c>
      <c r="X27" s="14"/>
      <c r="Y27" s="5">
        <v>7000</v>
      </c>
      <c r="Z27" s="39">
        <f t="shared" si="2"/>
        <v>733.03828583761833</v>
      </c>
      <c r="AA27" s="453">
        <v>0.66</v>
      </c>
      <c r="AB27" s="449">
        <v>2.3858055555555556E-2</v>
      </c>
      <c r="AN27" s="267"/>
    </row>
    <row r="28" spans="1:41" x14ac:dyDescent="0.25">
      <c r="A28" s="13"/>
      <c r="B28" s="14"/>
      <c r="C28" s="58">
        <v>7000</v>
      </c>
      <c r="D28" s="61">
        <f t="shared" si="0"/>
        <v>733.03828583761833</v>
      </c>
      <c r="E28" s="4">
        <v>1</v>
      </c>
      <c r="F28" s="6">
        <v>4.0744000000000002E-2</v>
      </c>
      <c r="G28" s="14"/>
      <c r="H28" s="5">
        <v>7000</v>
      </c>
      <c r="I28" s="52">
        <v>733.03828583761799</v>
      </c>
      <c r="J28" s="55">
        <v>1</v>
      </c>
      <c r="K28" s="209">
        <v>4.0410051884451702E-2</v>
      </c>
      <c r="L28" s="14"/>
      <c r="M28" s="5">
        <v>7000</v>
      </c>
      <c r="N28" s="40">
        <f t="shared" si="1"/>
        <v>733.03828583761833</v>
      </c>
      <c r="O28" s="4">
        <v>1</v>
      </c>
      <c r="P28" s="264">
        <v>3.7897222222222221E-2</v>
      </c>
      <c r="X28" s="14"/>
      <c r="Y28" s="5">
        <v>7000</v>
      </c>
      <c r="Z28" s="39">
        <f t="shared" si="2"/>
        <v>733.03828583761833</v>
      </c>
      <c r="AA28" s="453">
        <v>1</v>
      </c>
      <c r="AB28" s="268">
        <v>3.6487222222222226E-2</v>
      </c>
      <c r="AO28" s="267"/>
    </row>
    <row r="29" spans="1:41" x14ac:dyDescent="0.25">
      <c r="A29" s="13"/>
      <c r="B29" s="14"/>
      <c r="C29" s="58">
        <v>7500</v>
      </c>
      <c r="D29" s="61">
        <f t="shared" si="0"/>
        <v>785.39816339744823</v>
      </c>
      <c r="E29" s="4">
        <v>0</v>
      </c>
      <c r="F29" s="6">
        <v>0</v>
      </c>
      <c r="G29" s="14"/>
      <c r="H29" s="5">
        <v>7500</v>
      </c>
      <c r="I29" s="52">
        <v>785.398163397448</v>
      </c>
      <c r="J29" s="55">
        <v>0</v>
      </c>
      <c r="K29" s="209">
        <v>1.07899721948717E-2</v>
      </c>
      <c r="L29" s="14"/>
      <c r="M29" s="5">
        <v>7500</v>
      </c>
      <c r="N29" s="40">
        <f t="shared" si="1"/>
        <v>785.39816339744823</v>
      </c>
      <c r="O29" s="4">
        <v>0</v>
      </c>
      <c r="P29" s="263">
        <f>K29</f>
        <v>1.07899721948717E-2</v>
      </c>
      <c r="X29" s="14"/>
      <c r="Y29" s="5">
        <v>7500</v>
      </c>
      <c r="Z29" s="39">
        <f t="shared" si="2"/>
        <v>785.39816339744823</v>
      </c>
      <c r="AA29" s="453">
        <v>0.33</v>
      </c>
      <c r="AB29" s="448">
        <v>1.6054166666666668E-2</v>
      </c>
      <c r="AO29" s="267"/>
    </row>
    <row r="30" spans="1:41" x14ac:dyDescent="0.25">
      <c r="A30" s="13"/>
      <c r="B30" s="14"/>
      <c r="C30" s="58">
        <v>7500</v>
      </c>
      <c r="D30" s="61">
        <f t="shared" si="0"/>
        <v>785.39816339744823</v>
      </c>
      <c r="E30" s="4">
        <v>0.5</v>
      </c>
      <c r="F30" s="6">
        <v>2.0899999999999998E-2</v>
      </c>
      <c r="G30" s="14"/>
      <c r="H30" s="5">
        <v>7500</v>
      </c>
      <c r="I30" s="52">
        <v>785.398163397448</v>
      </c>
      <c r="J30" s="55">
        <v>0.5</v>
      </c>
      <c r="K30" s="209">
        <v>3.5812715067631097E-2</v>
      </c>
      <c r="L30" s="14"/>
      <c r="M30" s="5">
        <v>7500</v>
      </c>
      <c r="N30" s="40">
        <f t="shared" si="1"/>
        <v>785.39816339744823</v>
      </c>
      <c r="O30" s="4">
        <v>0.33</v>
      </c>
      <c r="P30" s="209">
        <v>1.6088888888888889E-2</v>
      </c>
      <c r="X30" s="14"/>
      <c r="Y30" s="5">
        <v>7500</v>
      </c>
      <c r="Z30" s="39">
        <f t="shared" si="2"/>
        <v>785.39816339744823</v>
      </c>
      <c r="AA30" s="453">
        <v>0.66</v>
      </c>
      <c r="AB30" s="449">
        <v>2.4995555555555556E-2</v>
      </c>
    </row>
    <row r="31" spans="1:41" ht="15.75" thickBot="1" x14ac:dyDescent="0.3">
      <c r="A31" s="13"/>
      <c r="B31" s="14"/>
      <c r="C31" s="59">
        <v>7500</v>
      </c>
      <c r="D31" s="62">
        <f t="shared" si="0"/>
        <v>785.39816339744823</v>
      </c>
      <c r="E31" s="8">
        <v>1</v>
      </c>
      <c r="F31" s="9">
        <v>4.1799999999999997E-2</v>
      </c>
      <c r="G31" s="14"/>
      <c r="H31" s="7">
        <v>7500</v>
      </c>
      <c r="I31" s="53">
        <v>785.398163397448</v>
      </c>
      <c r="J31" s="56">
        <v>1</v>
      </c>
      <c r="K31" s="210">
        <v>4.0502617656677398E-2</v>
      </c>
      <c r="L31" s="14"/>
      <c r="M31" s="7">
        <v>7500</v>
      </c>
      <c r="N31" s="50">
        <f t="shared" si="1"/>
        <v>785.39816339744823</v>
      </c>
      <c r="O31" s="8">
        <v>1</v>
      </c>
      <c r="P31" s="265">
        <v>3.8305555555555558E-2</v>
      </c>
      <c r="X31" s="14"/>
      <c r="Y31" s="7">
        <v>7500</v>
      </c>
      <c r="Z31" s="266">
        <f t="shared" si="2"/>
        <v>785.39816339744823</v>
      </c>
      <c r="AA31" s="454">
        <v>1</v>
      </c>
      <c r="AB31" s="451">
        <v>3.7398611111111112E-2</v>
      </c>
    </row>
    <row r="32" spans="1:41" x14ac:dyDescent="0.25">
      <c r="K32" s="25"/>
    </row>
    <row r="33" spans="2:63" x14ac:dyDescent="0.25">
      <c r="Y33" s="339" t="s">
        <v>151</v>
      </c>
      <c r="Z33" s="340"/>
      <c r="AA33" s="32" t="s">
        <v>6</v>
      </c>
      <c r="AB33" s="235" t="s">
        <v>142</v>
      </c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4"/>
    </row>
    <row r="34" spans="2:63" x14ac:dyDescent="0.25">
      <c r="Y34" s="35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36"/>
    </row>
    <row r="35" spans="2:63" x14ac:dyDescent="0.25">
      <c r="Y35" s="37" t="s">
        <v>1</v>
      </c>
      <c r="Z35" s="64">
        <v>4000</v>
      </c>
      <c r="AA35" s="64">
        <v>4250</v>
      </c>
      <c r="AB35" s="64">
        <v>4500</v>
      </c>
      <c r="AC35" s="64">
        <v>4750</v>
      </c>
      <c r="AD35" s="64">
        <v>5000</v>
      </c>
      <c r="AE35" s="64">
        <v>5250</v>
      </c>
      <c r="AF35" s="64">
        <v>5500</v>
      </c>
      <c r="AG35" s="64">
        <v>5750</v>
      </c>
      <c r="AH35" s="64">
        <v>6000</v>
      </c>
      <c r="AI35" s="64">
        <v>6250</v>
      </c>
      <c r="AJ35" s="64">
        <v>6500</v>
      </c>
      <c r="AK35" s="64">
        <v>6750</v>
      </c>
      <c r="AL35" s="64">
        <v>7000</v>
      </c>
      <c r="AM35" s="64">
        <v>7250</v>
      </c>
      <c r="AN35" s="65">
        <v>7500</v>
      </c>
    </row>
    <row r="36" spans="2:63" x14ac:dyDescent="0.25">
      <c r="B36" s="347" t="s">
        <v>10</v>
      </c>
      <c r="C36" s="348"/>
      <c r="D36" s="348"/>
      <c r="E36" s="33"/>
      <c r="F36" s="33"/>
      <c r="G36" s="33"/>
      <c r="H36" s="33"/>
      <c r="I36" s="33"/>
      <c r="J36" s="34"/>
      <c r="K36"/>
      <c r="L36"/>
      <c r="M36"/>
      <c r="O36"/>
      <c r="P36"/>
      <c r="Q36"/>
      <c r="R36"/>
      <c r="S36"/>
      <c r="T36"/>
      <c r="U36"/>
      <c r="V36"/>
      <c r="Y36" s="37" t="s">
        <v>4</v>
      </c>
      <c r="Z36" s="63">
        <v>56.975999999999999</v>
      </c>
      <c r="AA36" s="63">
        <v>62.247</v>
      </c>
      <c r="AB36" s="63">
        <v>69.706999999999994</v>
      </c>
      <c r="AC36" s="63">
        <v>77.369</v>
      </c>
      <c r="AD36" s="63">
        <v>86.769000000000005</v>
      </c>
      <c r="AE36" s="63">
        <v>94.855000000000004</v>
      </c>
      <c r="AF36" s="63">
        <v>102.096</v>
      </c>
      <c r="AG36" s="63">
        <v>108.989</v>
      </c>
      <c r="AH36" s="63">
        <v>113.291</v>
      </c>
      <c r="AI36" s="63">
        <v>119.12</v>
      </c>
      <c r="AJ36" s="63">
        <v>124.247</v>
      </c>
      <c r="AK36" s="63">
        <v>129.18799999999999</v>
      </c>
      <c r="AL36" s="63">
        <v>131.35400000000001</v>
      </c>
      <c r="AM36" s="63">
        <v>131.898</v>
      </c>
      <c r="AN36" s="66">
        <v>134.63499999999999</v>
      </c>
    </row>
    <row r="37" spans="2:63" x14ac:dyDescent="0.25">
      <c r="B37" s="35"/>
      <c r="J37" s="36"/>
      <c r="K37"/>
      <c r="L37"/>
      <c r="M37"/>
      <c r="O37"/>
      <c r="P37"/>
      <c r="Q37"/>
      <c r="R37"/>
      <c r="S37"/>
      <c r="T37"/>
      <c r="U37"/>
      <c r="V37"/>
      <c r="Y37" s="37" t="s">
        <v>5</v>
      </c>
      <c r="Z37" s="78">
        <f t="shared" ref="Z37:AN37" si="5">Z36/3600</f>
        <v>1.5826666666666666E-2</v>
      </c>
      <c r="AA37" s="78">
        <f t="shared" si="5"/>
        <v>1.7290833333333332E-2</v>
      </c>
      <c r="AB37" s="78">
        <f t="shared" si="5"/>
        <v>1.9363055555555553E-2</v>
      </c>
      <c r="AC37" s="78">
        <f t="shared" si="5"/>
        <v>2.149138888888889E-2</v>
      </c>
      <c r="AD37" s="78">
        <f t="shared" si="5"/>
        <v>2.4102500000000002E-2</v>
      </c>
      <c r="AE37" s="78">
        <f t="shared" si="5"/>
        <v>2.6348611111111111E-2</v>
      </c>
      <c r="AF37" s="78">
        <f t="shared" si="5"/>
        <v>2.836E-2</v>
      </c>
      <c r="AG37" s="78">
        <f t="shared" si="5"/>
        <v>3.0274722222222224E-2</v>
      </c>
      <c r="AH37" s="78">
        <f t="shared" si="5"/>
        <v>3.1469722222222218E-2</v>
      </c>
      <c r="AI37" s="78">
        <f t="shared" si="5"/>
        <v>3.308888888888889E-2</v>
      </c>
      <c r="AJ37" s="78">
        <f t="shared" si="5"/>
        <v>3.4513055555555554E-2</v>
      </c>
      <c r="AK37" s="78">
        <f t="shared" si="5"/>
        <v>3.5885555555555552E-2</v>
      </c>
      <c r="AL37" s="78">
        <f t="shared" si="5"/>
        <v>3.6487222222222226E-2</v>
      </c>
      <c r="AM37" s="78">
        <f t="shared" si="5"/>
        <v>3.6638333333333335E-2</v>
      </c>
      <c r="AN37" s="79">
        <f t="shared" si="5"/>
        <v>3.7398611111111112E-2</v>
      </c>
    </row>
    <row r="38" spans="2:63" x14ac:dyDescent="0.25">
      <c r="B38" s="35" t="s">
        <v>1</v>
      </c>
      <c r="C38" s="13">
        <v>4000</v>
      </c>
      <c r="D38" s="13">
        <v>4500</v>
      </c>
      <c r="E38" s="13">
        <v>5000</v>
      </c>
      <c r="F38" s="13">
        <v>5500</v>
      </c>
      <c r="G38" s="13">
        <v>6000</v>
      </c>
      <c r="H38" s="13">
        <v>6500</v>
      </c>
      <c r="I38" s="13">
        <v>7000</v>
      </c>
      <c r="J38" s="36">
        <v>7500</v>
      </c>
      <c r="K38"/>
      <c r="L38"/>
      <c r="M38"/>
      <c r="O38"/>
      <c r="P38"/>
      <c r="Q38"/>
      <c r="R38"/>
      <c r="S38"/>
      <c r="T38"/>
      <c r="U38"/>
      <c r="V38"/>
      <c r="Y38" s="37" t="s">
        <v>18</v>
      </c>
      <c r="Z38" s="63">
        <v>629</v>
      </c>
      <c r="AA38" s="63">
        <v>635.79999999999995</v>
      </c>
      <c r="AB38" s="63">
        <v>671.4</v>
      </c>
      <c r="AC38" s="63">
        <v>692.1</v>
      </c>
      <c r="AD38" s="63">
        <v>717.5</v>
      </c>
      <c r="AE38" s="63">
        <v>739.7</v>
      </c>
      <c r="AF38" s="63">
        <v>759.3</v>
      </c>
      <c r="AG38" s="63">
        <v>770</v>
      </c>
      <c r="AH38" s="63">
        <v>775.8</v>
      </c>
      <c r="AI38" s="63">
        <v>775.2</v>
      </c>
      <c r="AJ38" s="63">
        <v>768.8</v>
      </c>
      <c r="AK38" s="63">
        <v>764.3</v>
      </c>
      <c r="AL38" s="63">
        <v>740.2</v>
      </c>
      <c r="AM38" s="63">
        <v>717.5</v>
      </c>
      <c r="AN38" s="66">
        <v>699</v>
      </c>
    </row>
    <row r="39" spans="2:63" ht="15.75" thickBot="1" x14ac:dyDescent="0.3">
      <c r="B39" s="35" t="s">
        <v>4</v>
      </c>
      <c r="C39" s="13">
        <f>C40*3600</f>
        <v>49.264068234172676</v>
      </c>
      <c r="D39" s="13">
        <f t="shared" ref="D39:J39" si="6">D40*3600</f>
        <v>76.515218691264721</v>
      </c>
      <c r="E39" s="13">
        <f t="shared" si="6"/>
        <v>99.280050202177208</v>
      </c>
      <c r="F39" s="13">
        <f t="shared" si="6"/>
        <v>117.5585627669094</v>
      </c>
      <c r="G39" s="13">
        <f t="shared" si="6"/>
        <v>131.35075638546166</v>
      </c>
      <c r="H39" s="13">
        <f t="shared" si="6"/>
        <v>140.65663105783369</v>
      </c>
      <c r="I39" s="13">
        <f t="shared" si="6"/>
        <v>145.47618678402614</v>
      </c>
      <c r="J39" s="36">
        <f t="shared" si="6"/>
        <v>145.80942356403864</v>
      </c>
      <c r="K39"/>
      <c r="L39"/>
      <c r="M39"/>
      <c r="O39"/>
      <c r="P39"/>
      <c r="Q39"/>
      <c r="R39"/>
      <c r="S39"/>
      <c r="T39"/>
      <c r="U39"/>
      <c r="V39"/>
      <c r="Y39" s="37" t="s">
        <v>19</v>
      </c>
      <c r="Z39" s="63">
        <f t="shared" ref="Z39:AN39" si="7">Z38*6.28*Z35/60/1000</f>
        <v>263.34133333333335</v>
      </c>
      <c r="AA39" s="63">
        <f t="shared" si="7"/>
        <v>282.82503333333335</v>
      </c>
      <c r="AB39" s="63">
        <f t="shared" si="7"/>
        <v>316.2294</v>
      </c>
      <c r="AC39" s="63">
        <f t="shared" si="7"/>
        <v>344.08904999999999</v>
      </c>
      <c r="AD39" s="63">
        <f t="shared" si="7"/>
        <v>375.49166666666673</v>
      </c>
      <c r="AE39" s="63">
        <f t="shared" si="7"/>
        <v>406.46515000000011</v>
      </c>
      <c r="AF39" s="63">
        <f t="shared" si="7"/>
        <v>437.10369999999995</v>
      </c>
      <c r="AG39" s="63">
        <f t="shared" si="7"/>
        <v>463.41166666666675</v>
      </c>
      <c r="AH39" s="63">
        <f t="shared" si="7"/>
        <v>487.20240000000007</v>
      </c>
      <c r="AI39" s="63">
        <f t="shared" si="7"/>
        <v>507.11000000000007</v>
      </c>
      <c r="AJ39" s="63">
        <f t="shared" si="7"/>
        <v>523.04026666666675</v>
      </c>
      <c r="AK39" s="63">
        <f t="shared" si="7"/>
        <v>539.97794999999996</v>
      </c>
      <c r="AL39" s="63">
        <f t="shared" si="7"/>
        <v>542.31986666666671</v>
      </c>
      <c r="AM39" s="63">
        <f t="shared" si="7"/>
        <v>544.46291666666673</v>
      </c>
      <c r="AN39" s="66">
        <f t="shared" si="7"/>
        <v>548.71500000000015</v>
      </c>
      <c r="BC39" s="17"/>
      <c r="BD39" s="17"/>
      <c r="BE39" s="17"/>
      <c r="BF39" s="17"/>
      <c r="BG39" s="17"/>
      <c r="BH39" s="17"/>
      <c r="BI39" s="17"/>
      <c r="BJ39" s="17"/>
      <c r="BK39" s="17"/>
    </row>
    <row r="40" spans="2:63" ht="15.75" thickBot="1" x14ac:dyDescent="0.3">
      <c r="B40" s="35" t="s">
        <v>5</v>
      </c>
      <c r="C40" s="25">
        <f>K10</f>
        <v>1.3684463398381299E-2</v>
      </c>
      <c r="D40" s="25">
        <f>K13</f>
        <v>2.1254227414240202E-2</v>
      </c>
      <c r="E40" s="25">
        <f>K16</f>
        <v>2.7577791722827E-2</v>
      </c>
      <c r="F40" s="25">
        <f>K19</f>
        <v>3.2655156324141503E-2</v>
      </c>
      <c r="G40" s="25">
        <f>K22</f>
        <v>3.64863212181838E-2</v>
      </c>
      <c r="H40" s="25">
        <f>K25</f>
        <v>3.9071286404953803E-2</v>
      </c>
      <c r="I40" s="25">
        <f>K28</f>
        <v>4.0410051884451702E-2</v>
      </c>
      <c r="J40" s="48">
        <f>K31</f>
        <v>4.0502617656677398E-2</v>
      </c>
      <c r="K40"/>
      <c r="L40"/>
      <c r="M40"/>
      <c r="O40"/>
      <c r="P40"/>
      <c r="Q40"/>
      <c r="R40"/>
      <c r="S40"/>
      <c r="T40"/>
      <c r="U40"/>
      <c r="V40"/>
      <c r="Y40" s="41" t="s">
        <v>21</v>
      </c>
      <c r="Z40" s="67">
        <f t="shared" ref="Z40:AN40" si="8">Z36*1000/Z39</f>
        <v>216.35798406124368</v>
      </c>
      <c r="AA40" s="68">
        <f t="shared" si="8"/>
        <v>220.09013582131047</v>
      </c>
      <c r="AB40" s="68">
        <f t="shared" si="8"/>
        <v>220.43174986259976</v>
      </c>
      <c r="AC40" s="68">
        <f t="shared" si="8"/>
        <v>224.85167720390987</v>
      </c>
      <c r="AD40" s="68">
        <f t="shared" si="8"/>
        <v>231.08102709780505</v>
      </c>
      <c r="AE40" s="68">
        <f t="shared" si="8"/>
        <v>233.365640326114</v>
      </c>
      <c r="AF40" s="68">
        <f t="shared" si="8"/>
        <v>233.57386359346768</v>
      </c>
      <c r="AG40" s="68">
        <f t="shared" si="8"/>
        <v>235.18829550399749</v>
      </c>
      <c r="AH40" s="68">
        <f t="shared" si="8"/>
        <v>232.53374778120957</v>
      </c>
      <c r="AI40" s="68">
        <f t="shared" si="8"/>
        <v>234.89972589773419</v>
      </c>
      <c r="AJ40" s="68">
        <f t="shared" si="8"/>
        <v>237.5476763803016</v>
      </c>
      <c r="AK40" s="68">
        <f t="shared" si="8"/>
        <v>239.24680628162685</v>
      </c>
      <c r="AL40" s="68">
        <f t="shared" si="8"/>
        <v>242.20761228490244</v>
      </c>
      <c r="AM40" s="68">
        <f t="shared" si="8"/>
        <v>242.25341334082285</v>
      </c>
      <c r="AN40" s="69">
        <f t="shared" si="8"/>
        <v>245.3641690130577</v>
      </c>
    </row>
    <row r="41" spans="2:63" x14ac:dyDescent="0.25">
      <c r="B41" s="35" t="s">
        <v>7</v>
      </c>
      <c r="C41" s="70"/>
      <c r="D41" s="70"/>
      <c r="E41" s="70"/>
      <c r="F41" s="70"/>
      <c r="G41" s="70"/>
      <c r="H41" s="70"/>
      <c r="I41" s="70"/>
      <c r="J41" s="71"/>
      <c r="K41"/>
      <c r="L41"/>
      <c r="M41"/>
      <c r="O41"/>
      <c r="P41"/>
      <c r="Q41"/>
      <c r="R41"/>
      <c r="S41"/>
      <c r="T41"/>
      <c r="U41"/>
      <c r="V41"/>
      <c r="Y41" s="1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T41" s="17"/>
    </row>
    <row r="42" spans="2:63" x14ac:dyDescent="0.25">
      <c r="B42" s="35" t="s">
        <v>16</v>
      </c>
      <c r="C42" s="39">
        <v>54.511654612845703</v>
      </c>
      <c r="D42" s="39">
        <v>154.630181966534</v>
      </c>
      <c r="E42" s="39">
        <v>186.533339750842</v>
      </c>
      <c r="F42" s="39">
        <v>259.01089414021402</v>
      </c>
      <c r="G42" s="39">
        <v>319.02596571704402</v>
      </c>
      <c r="H42" s="39">
        <v>489.006706410638</v>
      </c>
      <c r="I42" s="39">
        <v>515.44563968415696</v>
      </c>
      <c r="J42" s="40">
        <v>501.582754577853</v>
      </c>
      <c r="K42"/>
      <c r="L42"/>
      <c r="M42"/>
      <c r="O42"/>
      <c r="P42"/>
      <c r="Q42"/>
      <c r="R42"/>
      <c r="S42"/>
      <c r="T42"/>
      <c r="U42"/>
      <c r="V42"/>
      <c r="AT42" s="17"/>
    </row>
    <row r="43" spans="2:63" x14ac:dyDescent="0.25">
      <c r="B43" s="72" t="s">
        <v>9</v>
      </c>
      <c r="C43" s="44">
        <f>C39*1000/C42</f>
        <v>903.73459738210863</v>
      </c>
      <c r="D43" s="44">
        <f t="shared" ref="D43:J43" si="9">D39*1000/D42</f>
        <v>494.82719167868925</v>
      </c>
      <c r="E43" s="44">
        <f t="shared" si="9"/>
        <v>532.23756318730182</v>
      </c>
      <c r="F43" s="44">
        <f t="shared" si="9"/>
        <v>453.87497370388513</v>
      </c>
      <c r="G43" s="44">
        <f t="shared" si="9"/>
        <v>411.72434378573917</v>
      </c>
      <c r="H43" s="44">
        <f t="shared" si="9"/>
        <v>287.63742749106359</v>
      </c>
      <c r="I43" s="44">
        <f t="shared" si="9"/>
        <v>282.23381009327721</v>
      </c>
      <c r="J43" s="45">
        <f t="shared" si="9"/>
        <v>290.69863792816443</v>
      </c>
      <c r="K43"/>
      <c r="L43"/>
      <c r="M43"/>
      <c r="O43"/>
      <c r="P43"/>
      <c r="Q43"/>
      <c r="R43"/>
      <c r="S43"/>
      <c r="T43"/>
      <c r="U43"/>
      <c r="V43"/>
      <c r="Y43" s="82" t="s">
        <v>22</v>
      </c>
      <c r="Z43" s="86" t="s">
        <v>6</v>
      </c>
      <c r="AP43" s="237" t="s">
        <v>26</v>
      </c>
      <c r="AT43" s="17"/>
    </row>
    <row r="44" spans="2:63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Z44" s="83">
        <f t="shared" ref="Z44:AN44" si="10">(Z40-C52)/C52</f>
        <v>-1.7033449755045473E-2</v>
      </c>
      <c r="AA44" s="84">
        <f t="shared" si="10"/>
        <v>-8.6491112273285303E-3</v>
      </c>
      <c r="AB44" s="84">
        <f t="shared" si="10"/>
        <v>-1.8355067442327039E-2</v>
      </c>
      <c r="AC44" s="84">
        <f t="shared" si="10"/>
        <v>-3.0919475615761995E-2</v>
      </c>
      <c r="AD44" s="84">
        <f t="shared" si="10"/>
        <v>-3.8383298321023301E-2</v>
      </c>
      <c r="AE44" s="84">
        <f t="shared" si="10"/>
        <v>-4.744759074369026E-2</v>
      </c>
      <c r="AF44" s="84">
        <f t="shared" si="10"/>
        <v>-5.9625035381548876E-2</v>
      </c>
      <c r="AG44" s="84">
        <f t="shared" si="10"/>
        <v>-6.4223590934979521E-2</v>
      </c>
      <c r="AH44" s="84">
        <f t="shared" si="10"/>
        <v>-7.7852706286442669E-2</v>
      </c>
      <c r="AI44" s="84">
        <f t="shared" si="10"/>
        <v>-6.4000144840946516E-2</v>
      </c>
      <c r="AJ44" s="84">
        <f t="shared" si="10"/>
        <v>-6.3240766859759212E-2</v>
      </c>
      <c r="AK44" s="84">
        <f t="shared" si="10"/>
        <v>-5.4537696083179453E-2</v>
      </c>
      <c r="AL44" s="84">
        <f t="shared" si="10"/>
        <v>-4.4099717458407697E-2</v>
      </c>
      <c r="AM44" s="84">
        <f t="shared" si="10"/>
        <v>-4.7971311271498146E-2</v>
      </c>
      <c r="AN44" s="85">
        <f t="shared" si="10"/>
        <v>-5.0214696017619929E-2</v>
      </c>
      <c r="AP44" s="236">
        <f>AVERAGE(Z44:AN44)</f>
        <v>-4.5770243882637243E-2</v>
      </c>
      <c r="AT44" s="17"/>
    </row>
    <row r="45" spans="2:63" x14ac:dyDescent="0.25">
      <c r="B45" s="337" t="s">
        <v>150</v>
      </c>
      <c r="C45" s="338"/>
      <c r="D45" s="32" t="s">
        <v>6</v>
      </c>
      <c r="E45" s="359" t="s">
        <v>142</v>
      </c>
      <c r="F45" s="359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4"/>
      <c r="AT45" s="17"/>
    </row>
    <row r="46" spans="2:63" x14ac:dyDescent="0.25">
      <c r="B46" s="35"/>
      <c r="Q46" s="36"/>
      <c r="AT46" s="17"/>
    </row>
    <row r="47" spans="2:63" x14ac:dyDescent="0.25">
      <c r="B47" s="37" t="s">
        <v>1</v>
      </c>
      <c r="C47" s="27">
        <v>4000</v>
      </c>
      <c r="D47" s="27">
        <v>4250</v>
      </c>
      <c r="E47" s="27">
        <v>4500</v>
      </c>
      <c r="F47" s="27">
        <v>4750</v>
      </c>
      <c r="G47" s="27">
        <v>5000</v>
      </c>
      <c r="H47" s="27">
        <v>5250</v>
      </c>
      <c r="I47" s="27">
        <v>5500</v>
      </c>
      <c r="J47" s="27">
        <v>5750</v>
      </c>
      <c r="K47" s="27">
        <v>6000</v>
      </c>
      <c r="L47" s="27">
        <v>6250</v>
      </c>
      <c r="M47" s="27">
        <v>6500</v>
      </c>
      <c r="N47" s="27">
        <v>6750</v>
      </c>
      <c r="O47" s="27">
        <v>7000</v>
      </c>
      <c r="P47" s="27">
        <v>7250</v>
      </c>
      <c r="Q47" s="42">
        <v>7500</v>
      </c>
      <c r="R47" s="27"/>
      <c r="S47" s="27"/>
      <c r="T47" s="27"/>
      <c r="U47" s="27"/>
      <c r="V47" s="27"/>
      <c r="AT47" s="17"/>
    </row>
    <row r="48" spans="2:63" x14ac:dyDescent="0.25">
      <c r="B48" s="37" t="s">
        <v>4</v>
      </c>
      <c r="C48" s="73">
        <v>57.65</v>
      </c>
      <c r="D48" s="73">
        <v>65.022000000000006</v>
      </c>
      <c r="E48" s="73">
        <v>73.168000000000006</v>
      </c>
      <c r="F48" s="73">
        <v>82.26</v>
      </c>
      <c r="G48" s="73">
        <v>90.66</v>
      </c>
      <c r="H48" s="73">
        <v>101.65300000000001</v>
      </c>
      <c r="I48" s="73">
        <v>109.17</v>
      </c>
      <c r="J48" s="73">
        <v>115.38</v>
      </c>
      <c r="K48" s="73">
        <v>123.98</v>
      </c>
      <c r="L48" s="73">
        <v>128.25</v>
      </c>
      <c r="M48" s="73">
        <v>135.102</v>
      </c>
      <c r="N48" s="73">
        <v>137.22999999999999</v>
      </c>
      <c r="O48" s="73">
        <v>136.43</v>
      </c>
      <c r="P48" s="73">
        <v>138.66</v>
      </c>
      <c r="Q48" s="74">
        <v>137.9</v>
      </c>
      <c r="R48" s="73"/>
      <c r="S48" s="73"/>
      <c r="T48" s="73"/>
      <c r="U48" s="73"/>
      <c r="V48" s="73"/>
      <c r="AT48" s="17"/>
    </row>
    <row r="49" spans="2:46" x14ac:dyDescent="0.25">
      <c r="B49" s="37" t="s">
        <v>5</v>
      </c>
      <c r="C49" s="76">
        <f t="shared" ref="C49:Q49" si="11">C48/3600</f>
        <v>1.601388888888889E-2</v>
      </c>
      <c r="D49" s="76">
        <f t="shared" si="11"/>
        <v>1.8061666666666667E-2</v>
      </c>
      <c r="E49" s="76">
        <f t="shared" si="11"/>
        <v>2.0324444444444447E-2</v>
      </c>
      <c r="F49" s="76">
        <f t="shared" si="11"/>
        <v>2.2850000000000002E-2</v>
      </c>
      <c r="G49" s="76">
        <f t="shared" si="11"/>
        <v>2.5183333333333332E-2</v>
      </c>
      <c r="H49" s="76">
        <f t="shared" si="11"/>
        <v>2.8236944444444446E-2</v>
      </c>
      <c r="I49" s="76">
        <f t="shared" si="11"/>
        <v>3.0325000000000001E-2</v>
      </c>
      <c r="J49" s="76">
        <f t="shared" si="11"/>
        <v>3.2050000000000002E-2</v>
      </c>
      <c r="K49" s="76">
        <f t="shared" si="11"/>
        <v>3.4438888888888887E-2</v>
      </c>
      <c r="L49" s="76">
        <f t="shared" si="11"/>
        <v>3.5624999999999997E-2</v>
      </c>
      <c r="M49" s="76">
        <f t="shared" si="11"/>
        <v>3.7528333333333337E-2</v>
      </c>
      <c r="N49" s="76">
        <f t="shared" si="11"/>
        <v>3.8119444444444442E-2</v>
      </c>
      <c r="O49" s="76">
        <f t="shared" si="11"/>
        <v>3.7897222222222221E-2</v>
      </c>
      <c r="P49" s="76">
        <f t="shared" si="11"/>
        <v>3.8516666666666664E-2</v>
      </c>
      <c r="Q49" s="80">
        <f t="shared" si="11"/>
        <v>3.8305555555555558E-2</v>
      </c>
      <c r="R49" s="76"/>
      <c r="S49" s="76"/>
      <c r="T49" s="76"/>
      <c r="U49" s="76"/>
      <c r="V49" s="76"/>
      <c r="AT49" s="17"/>
    </row>
    <row r="50" spans="2:46" x14ac:dyDescent="0.25">
      <c r="B50" s="37" t="s">
        <v>7</v>
      </c>
      <c r="C50" s="73">
        <v>625.6</v>
      </c>
      <c r="D50" s="73">
        <v>658.4</v>
      </c>
      <c r="E50" s="73">
        <v>691.8</v>
      </c>
      <c r="F50" s="73">
        <v>713.1</v>
      </c>
      <c r="G50" s="73">
        <v>720.9</v>
      </c>
      <c r="H50" s="73">
        <v>755.1</v>
      </c>
      <c r="I50" s="73">
        <v>763.5</v>
      </c>
      <c r="J50" s="73">
        <v>762.8</v>
      </c>
      <c r="K50" s="73">
        <v>782.9</v>
      </c>
      <c r="L50" s="73">
        <v>781.2</v>
      </c>
      <c r="M50" s="73">
        <v>783.1</v>
      </c>
      <c r="N50" s="73">
        <v>767.6</v>
      </c>
      <c r="O50" s="73">
        <v>734.9</v>
      </c>
      <c r="P50" s="73">
        <v>718.1</v>
      </c>
      <c r="Q50" s="74">
        <v>680</v>
      </c>
      <c r="R50" s="73"/>
      <c r="S50" s="73"/>
      <c r="T50" s="73"/>
      <c r="U50" s="73"/>
      <c r="V50" s="73"/>
    </row>
    <row r="51" spans="2:46" ht="15.75" thickBot="1" x14ac:dyDescent="0.3">
      <c r="B51" s="37" t="s">
        <v>8</v>
      </c>
      <c r="C51" s="75">
        <f t="shared" ref="C51:Q51" si="12">C50*6.28*C47/60/1000</f>
        <v>261.91786666666673</v>
      </c>
      <c r="D51" s="75">
        <f t="shared" si="12"/>
        <v>292.87826666666666</v>
      </c>
      <c r="E51" s="75">
        <f t="shared" si="12"/>
        <v>325.83780000000002</v>
      </c>
      <c r="F51" s="75">
        <f t="shared" si="12"/>
        <v>354.52954999999997</v>
      </c>
      <c r="G51" s="75">
        <f t="shared" si="12"/>
        <v>377.27100000000007</v>
      </c>
      <c r="H51" s="75">
        <f t="shared" si="12"/>
        <v>414.92745000000002</v>
      </c>
      <c r="I51" s="75">
        <f t="shared" si="12"/>
        <v>439.5215</v>
      </c>
      <c r="J51" s="75">
        <f t="shared" si="12"/>
        <v>459.07846666666666</v>
      </c>
      <c r="K51" s="75">
        <f t="shared" si="12"/>
        <v>491.66120000000001</v>
      </c>
      <c r="L51" s="75">
        <f t="shared" si="12"/>
        <v>511.03500000000008</v>
      </c>
      <c r="M51" s="75">
        <f t="shared" si="12"/>
        <v>532.76903333333348</v>
      </c>
      <c r="N51" s="75">
        <f t="shared" si="12"/>
        <v>542.30939999999998</v>
      </c>
      <c r="O51" s="75">
        <f t="shared" si="12"/>
        <v>538.43673333333345</v>
      </c>
      <c r="P51" s="75">
        <f t="shared" si="12"/>
        <v>544.91821666666669</v>
      </c>
      <c r="Q51" s="81">
        <f t="shared" si="12"/>
        <v>533.80000000000007</v>
      </c>
      <c r="R51" s="75"/>
      <c r="S51" s="75"/>
      <c r="T51" s="75"/>
      <c r="U51" s="75"/>
      <c r="V51" s="75"/>
    </row>
    <row r="52" spans="2:46" ht="15.75" thickBot="1" x14ac:dyDescent="0.3">
      <c r="B52" s="37" t="s">
        <v>9</v>
      </c>
      <c r="C52" s="67">
        <f t="shared" ref="C52:Q52" si="13">C48*1000/C51</f>
        <v>220.10716845586194</v>
      </c>
      <c r="D52" s="68">
        <f t="shared" si="13"/>
        <v>222.01032784041792</v>
      </c>
      <c r="E52" s="68">
        <f t="shared" si="13"/>
        <v>224.55344346174689</v>
      </c>
      <c r="F52" s="68">
        <f t="shared" si="13"/>
        <v>232.02579305448589</v>
      </c>
      <c r="G52" s="68">
        <f t="shared" si="13"/>
        <v>240.30471464809111</v>
      </c>
      <c r="H52" s="68">
        <f t="shared" si="13"/>
        <v>244.98981689449565</v>
      </c>
      <c r="I52" s="68">
        <f t="shared" si="13"/>
        <v>248.38375369578051</v>
      </c>
      <c r="J52" s="68">
        <f t="shared" si="13"/>
        <v>251.32958388958053</v>
      </c>
      <c r="K52" s="68">
        <f t="shared" si="13"/>
        <v>252.16551560302094</v>
      </c>
      <c r="L52" s="68">
        <f t="shared" si="13"/>
        <v>250.9612844521412</v>
      </c>
      <c r="M52" s="68">
        <f t="shared" si="13"/>
        <v>253.58455831172864</v>
      </c>
      <c r="N52" s="68">
        <f t="shared" si="13"/>
        <v>253.04743012014913</v>
      </c>
      <c r="O52" s="68">
        <f t="shared" si="13"/>
        <v>253.38167244904409</v>
      </c>
      <c r="P52" s="68">
        <f t="shared" si="13"/>
        <v>254.46020294238036</v>
      </c>
      <c r="Q52" s="69">
        <f t="shared" si="13"/>
        <v>258.3364556013488</v>
      </c>
      <c r="R52" s="211"/>
      <c r="S52" s="211"/>
      <c r="T52" s="211"/>
      <c r="U52" s="211"/>
      <c r="V52" s="211"/>
    </row>
    <row r="53" spans="2:46" x14ac:dyDescent="0.25">
      <c r="B53" s="35"/>
      <c r="Q53" s="36"/>
      <c r="R53" s="14"/>
      <c r="S53" s="14"/>
      <c r="T53" s="14"/>
      <c r="U53" s="14"/>
      <c r="V53" s="14"/>
    </row>
    <row r="54" spans="2:46" x14ac:dyDescent="0.25">
      <c r="B54" s="351" t="s">
        <v>13</v>
      </c>
      <c r="C54" s="352"/>
      <c r="D54" s="29" t="s">
        <v>11</v>
      </c>
      <c r="E54" s="46" t="s">
        <v>14</v>
      </c>
      <c r="I54" s="359" t="s">
        <v>142</v>
      </c>
      <c r="J54" s="359"/>
      <c r="Q54" s="36"/>
      <c r="R54" s="14"/>
      <c r="S54" s="14"/>
      <c r="T54" s="14"/>
      <c r="U54" s="14"/>
      <c r="V54" s="14"/>
    </row>
    <row r="55" spans="2:46" x14ac:dyDescent="0.25">
      <c r="B55" s="35"/>
      <c r="Q55" s="36"/>
      <c r="R55" s="14"/>
      <c r="S55" s="14"/>
      <c r="T55" s="14"/>
      <c r="U55" s="14"/>
      <c r="V55" s="14"/>
    </row>
    <row r="56" spans="2:46" x14ac:dyDescent="0.25">
      <c r="B56" s="37" t="s">
        <v>1</v>
      </c>
      <c r="C56" s="27">
        <v>4000</v>
      </c>
      <c r="D56" s="27">
        <v>4250</v>
      </c>
      <c r="E56" s="27">
        <v>4500</v>
      </c>
      <c r="F56" s="27">
        <v>4750</v>
      </c>
      <c r="G56" s="27">
        <v>5000</v>
      </c>
      <c r="H56" s="27">
        <v>5250</v>
      </c>
      <c r="I56" s="27">
        <v>5500</v>
      </c>
      <c r="J56" s="27">
        <v>5750</v>
      </c>
      <c r="K56" s="27">
        <v>6000</v>
      </c>
      <c r="L56" s="27">
        <v>6250</v>
      </c>
      <c r="M56" s="27">
        <v>6500</v>
      </c>
      <c r="N56" s="27">
        <v>6750</v>
      </c>
      <c r="O56" s="27">
        <v>7000</v>
      </c>
      <c r="P56" s="27">
        <v>7250</v>
      </c>
      <c r="Q56" s="42">
        <v>7500</v>
      </c>
      <c r="R56" s="27"/>
      <c r="S56" s="27"/>
      <c r="T56" s="27"/>
      <c r="U56" s="27"/>
      <c r="V56" s="27"/>
    </row>
    <row r="57" spans="2:46" x14ac:dyDescent="0.25">
      <c r="B57" s="37" t="s">
        <v>4</v>
      </c>
      <c r="C57" s="28">
        <f>(9.178+8.776+8.699)/3</f>
        <v>8.8843333333333323</v>
      </c>
      <c r="D57" s="28">
        <f>(9.717+9.786)/2</f>
        <v>9.7515000000000001</v>
      </c>
      <c r="E57" s="28">
        <f>(12.176+10.802)/2</f>
        <v>11.489000000000001</v>
      </c>
      <c r="F57" s="28">
        <f>(11.529+11.357)/2</f>
        <v>11.443</v>
      </c>
      <c r="G57" s="28">
        <f>(13.665+13.957+14.079+13.223+13.69+13.461)/6</f>
        <v>13.679166666666667</v>
      </c>
      <c r="H57" s="28">
        <f>(14.203+13.533+13.65+14.074+13.87+13.982)/6</f>
        <v>13.885333333333334</v>
      </c>
      <c r="I57" s="28">
        <f>(15.478+15.321)/2</f>
        <v>15.3995</v>
      </c>
      <c r="J57" s="28">
        <v>20.67</v>
      </c>
      <c r="K57" s="28"/>
      <c r="L57" s="28"/>
      <c r="M57" s="28"/>
      <c r="N57" s="28"/>
      <c r="O57" s="28"/>
      <c r="P57" s="28"/>
      <c r="Q57" s="43"/>
      <c r="R57" s="212"/>
      <c r="S57" s="212"/>
      <c r="T57" s="212"/>
      <c r="U57" s="212"/>
      <c r="V57" s="212"/>
    </row>
    <row r="58" spans="2:46" x14ac:dyDescent="0.25">
      <c r="B58" s="37" t="s">
        <v>5</v>
      </c>
      <c r="C58" s="77">
        <f t="shared" ref="C58:J58" si="14">C57/3600</f>
        <v>2.4678703703703703E-3</v>
      </c>
      <c r="D58" s="77">
        <f t="shared" si="14"/>
        <v>2.7087500000000002E-3</v>
      </c>
      <c r="E58" s="77">
        <f t="shared" si="14"/>
        <v>3.191388888888889E-3</v>
      </c>
      <c r="F58" s="77">
        <f t="shared" si="14"/>
        <v>3.1786111111111112E-3</v>
      </c>
      <c r="G58" s="77">
        <f t="shared" si="14"/>
        <v>3.7997685185185187E-3</v>
      </c>
      <c r="H58" s="77">
        <f t="shared" si="14"/>
        <v>3.8570370370370373E-3</v>
      </c>
      <c r="I58" s="77">
        <f t="shared" si="14"/>
        <v>4.277638888888889E-3</v>
      </c>
      <c r="J58" s="77">
        <f t="shared" si="14"/>
        <v>5.7416666666666675E-3</v>
      </c>
      <c r="K58" s="28"/>
      <c r="L58" s="28"/>
      <c r="M58" s="28"/>
      <c r="N58" s="28"/>
      <c r="O58" s="28"/>
      <c r="P58" s="28"/>
      <c r="Q58" s="43"/>
      <c r="R58" s="212"/>
      <c r="S58" s="212"/>
      <c r="T58" s="212"/>
      <c r="U58" s="212"/>
      <c r="V58" s="212"/>
    </row>
    <row r="59" spans="2:46" x14ac:dyDescent="0.25">
      <c r="B59" s="37" t="s">
        <v>7</v>
      </c>
      <c r="C59" s="28">
        <f>(-8.999-2.82-3.785)/3</f>
        <v>-5.2013333333333334</v>
      </c>
      <c r="D59" s="28">
        <f>(-8.861-6.717)/2</f>
        <v>-7.7889999999999997</v>
      </c>
      <c r="E59" s="28">
        <f>(-6.236-15.141)/2</f>
        <v>-10.688499999999999</v>
      </c>
      <c r="F59" s="28">
        <f>(-11.222-14.6)/2</f>
        <v>-12.911</v>
      </c>
      <c r="G59" s="28">
        <f>(-10.415-21.769-10.116-10.651-7.112-8.901)/6</f>
        <v>-11.494</v>
      </c>
      <c r="H59" s="28">
        <f>(-17.474-25.156-18.025-16.633-17.96-24.444)/6</f>
        <v>-19.948666666666664</v>
      </c>
      <c r="I59" s="28">
        <f>(-27.037-38.633)/2</f>
        <v>-32.835000000000001</v>
      </c>
      <c r="J59" s="28">
        <v>-30.893000000000001</v>
      </c>
      <c r="K59" s="28"/>
      <c r="L59" s="28"/>
      <c r="M59" s="28"/>
      <c r="N59" s="28"/>
      <c r="O59" s="28"/>
      <c r="P59" s="28"/>
      <c r="Q59" s="43"/>
      <c r="R59" s="212"/>
      <c r="S59" s="212"/>
      <c r="T59" s="212"/>
      <c r="U59" s="212"/>
      <c r="V59" s="212"/>
    </row>
    <row r="60" spans="2:46" ht="15.75" thickBot="1" x14ac:dyDescent="0.3">
      <c r="B60" s="37" t="s">
        <v>8</v>
      </c>
      <c r="C60" s="28">
        <f>(-2.917-1.91-0.924)/3</f>
        <v>-1.917</v>
      </c>
      <c r="D60" s="28">
        <f>(-2.555-1.005)/2</f>
        <v>-1.78</v>
      </c>
      <c r="E60" s="28">
        <f>(-2.397-7.204)/2</f>
        <v>-4.8004999999999995</v>
      </c>
      <c r="F60" s="28">
        <f>(-5.272-8.771)/2</f>
        <v>-7.0215000000000005</v>
      </c>
      <c r="G60" s="28">
        <f>(-5.13-12.258-3.642-5.297-3.804-5.061)/6</f>
        <v>-5.8653333333333322</v>
      </c>
      <c r="H60" s="28">
        <f>(-10.166-12.954-12.298-9.58-10.149-13.603)/6</f>
        <v>-11.458333333333334</v>
      </c>
      <c r="I60" s="28">
        <f>(-16.554-22.372)/2</f>
        <v>-19.463000000000001</v>
      </c>
      <c r="J60" s="28">
        <v>-18.998000000000001</v>
      </c>
      <c r="K60" s="28"/>
      <c r="L60" s="28"/>
      <c r="M60" s="28"/>
      <c r="N60" s="28"/>
      <c r="O60" s="28"/>
      <c r="P60" s="28"/>
      <c r="Q60" s="43"/>
      <c r="R60" s="212"/>
      <c r="S60" s="212"/>
      <c r="T60" s="212"/>
      <c r="U60" s="212"/>
      <c r="V60" s="212"/>
    </row>
    <row r="61" spans="2:46" x14ac:dyDescent="0.25">
      <c r="B61" s="41" t="s">
        <v>9</v>
      </c>
      <c r="C61" s="213">
        <f>ABS(C57/C60) *1000</f>
        <v>4634.4983481133704</v>
      </c>
      <c r="D61" s="214">
        <f t="shared" ref="D61:J61" si="15">ABS(D57/D60) *1000</f>
        <v>5478.3707865168544</v>
      </c>
      <c r="E61" s="214">
        <f t="shared" si="15"/>
        <v>2393.2923653786065</v>
      </c>
      <c r="F61" s="214">
        <f t="shared" si="15"/>
        <v>1629.7087516912338</v>
      </c>
      <c r="G61" s="214">
        <f t="shared" si="15"/>
        <v>2332.2061832234608</v>
      </c>
      <c r="H61" s="214">
        <f t="shared" si="15"/>
        <v>1211.810909090909</v>
      </c>
      <c r="I61" s="214">
        <f t="shared" si="15"/>
        <v>791.21923650002566</v>
      </c>
      <c r="J61" s="214">
        <f t="shared" si="15"/>
        <v>1088.0092641330668</v>
      </c>
      <c r="K61" s="214"/>
      <c r="L61" s="214"/>
      <c r="M61" s="214"/>
      <c r="N61" s="214"/>
      <c r="O61" s="214"/>
      <c r="P61" s="214"/>
      <c r="Q61" s="215"/>
      <c r="R61" s="211"/>
      <c r="S61" s="211"/>
      <c r="T61" s="211"/>
      <c r="U61" s="211"/>
      <c r="V61" s="211"/>
    </row>
    <row r="63" spans="2:46" ht="15.75" thickBot="1" x14ac:dyDescent="0.3"/>
    <row r="64" spans="2:46" ht="15.75" thickBot="1" x14ac:dyDescent="0.3">
      <c r="B64" s="269" t="s">
        <v>156</v>
      </c>
      <c r="C64" s="270">
        <v>0</v>
      </c>
      <c r="D64" s="271">
        <v>0.33</v>
      </c>
      <c r="E64" s="272">
        <v>1</v>
      </c>
      <c r="F64" s="273"/>
      <c r="G64" s="273" t="s">
        <v>157</v>
      </c>
      <c r="H64" s="270">
        <v>0</v>
      </c>
      <c r="I64" s="271">
        <v>0.33</v>
      </c>
      <c r="J64" s="272">
        <v>1</v>
      </c>
      <c r="K64" s="274"/>
      <c r="L64" s="274" t="s">
        <v>157</v>
      </c>
      <c r="M64" s="270">
        <v>4000</v>
      </c>
      <c r="N64" s="271">
        <v>4500</v>
      </c>
      <c r="O64" s="271">
        <v>5000</v>
      </c>
      <c r="P64" s="271">
        <v>5500</v>
      </c>
      <c r="Q64" s="271">
        <v>6000</v>
      </c>
      <c r="R64" s="271">
        <v>6500</v>
      </c>
      <c r="S64" s="271">
        <v>7000</v>
      </c>
      <c r="T64" s="284">
        <v>7500</v>
      </c>
    </row>
    <row r="65" spans="2:20" x14ac:dyDescent="0.25">
      <c r="B65" s="275">
        <v>4000</v>
      </c>
      <c r="C65" s="276">
        <f>P8</f>
        <v>4.0713960324314201E-3</v>
      </c>
      <c r="D65" s="276">
        <f>P9</f>
        <v>6.1055555555555559E-3</v>
      </c>
      <c r="E65" s="276">
        <f>P10</f>
        <v>1.601388888888889E-2</v>
      </c>
      <c r="F65" s="274"/>
      <c r="G65" s="275">
        <v>4000</v>
      </c>
      <c r="H65" s="277">
        <f>C65*3600</f>
        <v>14.657025716753113</v>
      </c>
      <c r="I65" s="277">
        <f t="shared" ref="I65:J65" si="16">D65*3600</f>
        <v>21.98</v>
      </c>
      <c r="J65" s="277">
        <f t="shared" si="16"/>
        <v>57.650000000000006</v>
      </c>
      <c r="K65" s="274"/>
      <c r="L65" s="281">
        <v>0</v>
      </c>
      <c r="M65" s="277">
        <v>14.657025716753113</v>
      </c>
      <c r="N65" s="277">
        <v>8.8092127554434629</v>
      </c>
      <c r="O65" s="277">
        <v>6.0624266947981917</v>
      </c>
      <c r="P65" s="277">
        <v>6.4166675348173685</v>
      </c>
      <c r="Q65" s="277">
        <v>9.8719352755009915</v>
      </c>
      <c r="R65" s="277">
        <v>16.428229916848956</v>
      </c>
      <c r="S65" s="277">
        <v>26.085551458861403</v>
      </c>
      <c r="T65" s="277">
        <v>38.843899901538123</v>
      </c>
    </row>
    <row r="66" spans="2:20" x14ac:dyDescent="0.25">
      <c r="B66" s="278">
        <v>4500</v>
      </c>
      <c r="C66" s="276">
        <f>P11</f>
        <v>2.4470035431787399E-3</v>
      </c>
      <c r="D66" s="276">
        <f>P12</f>
        <v>7.9249999999999998E-3</v>
      </c>
      <c r="E66" s="276">
        <f>P13</f>
        <v>2.0324444444444447E-2</v>
      </c>
      <c r="F66" s="274"/>
      <c r="G66" s="278">
        <v>4500</v>
      </c>
      <c r="H66" s="277">
        <f t="shared" ref="H66:H72" si="17">C66*3600</f>
        <v>8.8092127554434629</v>
      </c>
      <c r="I66" s="277">
        <f t="shared" ref="I66:I72" si="18">D66*3600</f>
        <v>28.529999999999998</v>
      </c>
      <c r="J66" s="277">
        <f t="shared" ref="J66:J72" si="19">E66*3600</f>
        <v>73.168000000000006</v>
      </c>
      <c r="K66" s="274"/>
      <c r="L66" s="282">
        <v>0.33</v>
      </c>
      <c r="M66" s="277">
        <v>21.98</v>
      </c>
      <c r="N66" s="277">
        <v>28.529999999999998</v>
      </c>
      <c r="O66" s="277">
        <v>35.61</v>
      </c>
      <c r="P66" s="277">
        <v>41.18</v>
      </c>
      <c r="Q66" s="277">
        <v>46.8</v>
      </c>
      <c r="R66" s="277">
        <v>50.863999999999997</v>
      </c>
      <c r="S66" s="277">
        <v>54.09</v>
      </c>
      <c r="T66" s="277">
        <v>57.92</v>
      </c>
    </row>
    <row r="67" spans="2:20" ht="15.75" thickBot="1" x14ac:dyDescent="0.3">
      <c r="B67" s="278">
        <v>5000</v>
      </c>
      <c r="C67" s="276">
        <f>P14</f>
        <v>1.68400741522172E-3</v>
      </c>
      <c r="D67" s="276">
        <f>P15</f>
        <v>9.8916666666666667E-3</v>
      </c>
      <c r="E67" s="276">
        <f>P16</f>
        <v>2.5183333333333332E-2</v>
      </c>
      <c r="F67" s="274"/>
      <c r="G67" s="278">
        <v>5000</v>
      </c>
      <c r="H67" s="277">
        <f t="shared" si="17"/>
        <v>6.0624266947981917</v>
      </c>
      <c r="I67" s="277">
        <f>D67*3600</f>
        <v>35.61</v>
      </c>
      <c r="J67" s="277">
        <f t="shared" si="19"/>
        <v>90.66</v>
      </c>
      <c r="K67" s="274"/>
      <c r="L67" s="283">
        <v>1</v>
      </c>
      <c r="M67" s="277">
        <v>57.650000000000006</v>
      </c>
      <c r="N67" s="277">
        <v>73.168000000000006</v>
      </c>
      <c r="O67" s="277">
        <v>90.66</v>
      </c>
      <c r="P67" s="277">
        <v>109.17</v>
      </c>
      <c r="Q67" s="277">
        <v>123.97999999999999</v>
      </c>
      <c r="R67" s="277">
        <v>135.102</v>
      </c>
      <c r="S67" s="277">
        <v>136.43</v>
      </c>
      <c r="T67" s="277">
        <v>137.9</v>
      </c>
    </row>
    <row r="68" spans="2:20" x14ac:dyDescent="0.25">
      <c r="B68" s="279">
        <v>5500</v>
      </c>
      <c r="C68" s="276">
        <f>P17</f>
        <v>1.7824076485603801E-3</v>
      </c>
      <c r="D68" s="276">
        <f>P18</f>
        <v>1.1438888888888889E-2</v>
      </c>
      <c r="E68" s="276">
        <f>P19</f>
        <v>3.0325000000000001E-2</v>
      </c>
      <c r="F68" s="274"/>
      <c r="G68" s="279">
        <v>5500</v>
      </c>
      <c r="H68" s="277">
        <f t="shared" si="17"/>
        <v>6.4166675348173685</v>
      </c>
      <c r="I68" s="277">
        <f t="shared" si="18"/>
        <v>41.18</v>
      </c>
      <c r="J68" s="277">
        <f t="shared" si="19"/>
        <v>109.17</v>
      </c>
      <c r="K68" s="274"/>
      <c r="L68" s="277"/>
      <c r="M68" s="277"/>
      <c r="N68" s="277"/>
      <c r="O68" s="274"/>
      <c r="P68" s="274"/>
      <c r="Q68" s="274"/>
      <c r="R68" s="274"/>
      <c r="S68" s="274"/>
    </row>
    <row r="69" spans="2:20" x14ac:dyDescent="0.25">
      <c r="B69" s="279">
        <v>6000</v>
      </c>
      <c r="C69" s="276">
        <f>P20</f>
        <v>2.7422042431947198E-3</v>
      </c>
      <c r="D69" s="276">
        <f>P21</f>
        <v>1.2999999999999999E-2</v>
      </c>
      <c r="E69" s="276">
        <f>P22</f>
        <v>3.4438888888888887E-2</v>
      </c>
      <c r="F69" s="274"/>
      <c r="G69" s="279">
        <v>6000</v>
      </c>
      <c r="H69" s="277">
        <f t="shared" si="17"/>
        <v>9.8719352755009915</v>
      </c>
      <c r="I69" s="277">
        <f t="shared" si="18"/>
        <v>46.8</v>
      </c>
      <c r="J69" s="277">
        <f t="shared" si="19"/>
        <v>123.97999999999999</v>
      </c>
      <c r="K69" s="274"/>
      <c r="L69" s="277"/>
      <c r="M69" s="277"/>
      <c r="N69" s="277"/>
      <c r="O69" s="274"/>
      <c r="P69" s="274"/>
      <c r="Q69" s="274"/>
      <c r="R69" s="274"/>
      <c r="S69" s="274"/>
    </row>
    <row r="70" spans="2:20" x14ac:dyDescent="0.25">
      <c r="B70" s="279">
        <v>6500</v>
      </c>
      <c r="C70" s="276">
        <f>P23</f>
        <v>4.5633971991247101E-3</v>
      </c>
      <c r="D70" s="276">
        <f>P24</f>
        <v>1.4128888888888889E-2</v>
      </c>
      <c r="E70" s="276">
        <f>P25</f>
        <v>3.7528333333333337E-2</v>
      </c>
      <c r="F70" s="274"/>
      <c r="G70" s="279">
        <v>6500</v>
      </c>
      <c r="H70" s="277">
        <f t="shared" si="17"/>
        <v>16.428229916848956</v>
      </c>
      <c r="I70" s="277">
        <f t="shared" si="18"/>
        <v>50.863999999999997</v>
      </c>
      <c r="J70" s="277">
        <f t="shared" si="19"/>
        <v>135.102</v>
      </c>
      <c r="K70" s="274"/>
      <c r="L70" s="277"/>
      <c r="M70" s="277"/>
      <c r="N70" s="277"/>
      <c r="O70" s="274"/>
      <c r="P70" s="274"/>
      <c r="Q70" s="274"/>
      <c r="R70" s="274"/>
      <c r="S70" s="274"/>
    </row>
    <row r="71" spans="2:20" x14ac:dyDescent="0.25">
      <c r="B71" s="279">
        <v>7000</v>
      </c>
      <c r="C71" s="276">
        <f>P26</f>
        <v>7.2459865163503898E-3</v>
      </c>
      <c r="D71" s="276">
        <f>P27</f>
        <v>1.5025E-2</v>
      </c>
      <c r="E71" s="276">
        <f>P28</f>
        <v>3.7897222222222221E-2</v>
      </c>
      <c r="F71" s="274"/>
      <c r="G71" s="279">
        <v>7000</v>
      </c>
      <c r="H71" s="277">
        <f t="shared" si="17"/>
        <v>26.085551458861403</v>
      </c>
      <c r="I71" s="277">
        <f t="shared" si="18"/>
        <v>54.09</v>
      </c>
      <c r="J71" s="277">
        <f t="shared" si="19"/>
        <v>136.43</v>
      </c>
      <c r="K71" s="274"/>
      <c r="L71" s="277"/>
      <c r="M71" s="277"/>
      <c r="N71" s="277"/>
      <c r="O71" s="274"/>
      <c r="P71" s="274"/>
      <c r="Q71" s="274"/>
      <c r="R71" s="274"/>
      <c r="S71" s="274"/>
    </row>
    <row r="72" spans="2:20" ht="15.75" thickBot="1" x14ac:dyDescent="0.3">
      <c r="B72" s="280">
        <v>7500</v>
      </c>
      <c r="C72" s="276">
        <f>P29</f>
        <v>1.07899721948717E-2</v>
      </c>
      <c r="D72" s="276">
        <f>P30</f>
        <v>1.6088888888888889E-2</v>
      </c>
      <c r="E72" s="276">
        <f>P31</f>
        <v>3.8305555555555558E-2</v>
      </c>
      <c r="F72" s="274"/>
      <c r="G72" s="280">
        <v>7500</v>
      </c>
      <c r="H72" s="277">
        <f t="shared" si="17"/>
        <v>38.843899901538123</v>
      </c>
      <c r="I72" s="277">
        <f t="shared" si="18"/>
        <v>57.92</v>
      </c>
      <c r="J72" s="277">
        <f t="shared" si="19"/>
        <v>137.9</v>
      </c>
      <c r="K72" s="274"/>
      <c r="L72" s="277"/>
      <c r="M72" s="277"/>
      <c r="N72" s="277"/>
      <c r="O72" s="274"/>
      <c r="P72" s="274"/>
      <c r="Q72" s="274"/>
      <c r="R72" s="274"/>
      <c r="S72" s="274"/>
    </row>
    <row r="73" spans="2:20" x14ac:dyDescent="0.25">
      <c r="B73" s="274"/>
      <c r="C73" s="274"/>
      <c r="D73" s="274"/>
      <c r="E73" s="274"/>
      <c r="F73" s="274"/>
      <c r="G73" s="274"/>
      <c r="H73" s="274"/>
      <c r="I73" s="274"/>
      <c r="J73" s="274"/>
      <c r="K73" s="274"/>
      <c r="L73" s="274"/>
      <c r="M73" s="274"/>
      <c r="N73" s="274"/>
      <c r="O73" s="274"/>
      <c r="P73" s="274"/>
      <c r="Q73" s="274"/>
      <c r="R73" s="274"/>
      <c r="S73" s="274"/>
    </row>
    <row r="74" spans="2:20" x14ac:dyDescent="0.25">
      <c r="B74" s="274"/>
      <c r="C74" s="274"/>
      <c r="D74" s="274"/>
      <c r="E74" s="274"/>
      <c r="F74" s="274"/>
      <c r="G74" s="274"/>
      <c r="H74" s="274"/>
      <c r="I74" s="274"/>
      <c r="J74" s="274"/>
      <c r="K74" s="274"/>
    </row>
    <row r="75" spans="2:20" x14ac:dyDescent="0.25">
      <c r="B75" s="274"/>
      <c r="C75" s="274"/>
      <c r="D75" s="274"/>
      <c r="E75" s="274"/>
      <c r="F75" s="274"/>
      <c r="G75" s="274"/>
      <c r="H75" s="274"/>
      <c r="I75" s="274"/>
      <c r="J75" s="274"/>
      <c r="K75" s="274"/>
    </row>
    <row r="76" spans="2:20" x14ac:dyDescent="0.25">
      <c r="B76" s="274"/>
      <c r="C76" s="274"/>
      <c r="D76" s="274"/>
      <c r="E76" s="274"/>
      <c r="F76" s="274"/>
      <c r="G76" s="274"/>
      <c r="H76" s="274"/>
      <c r="I76" s="274"/>
      <c r="J76" s="274"/>
      <c r="K76" s="274"/>
    </row>
  </sheetData>
  <mergeCells count="15">
    <mergeCell ref="Y4:AB4"/>
    <mergeCell ref="Y5:AB5"/>
    <mergeCell ref="Y33:Z33"/>
    <mergeCell ref="A1:W3"/>
    <mergeCell ref="E45:F45"/>
    <mergeCell ref="M5:P5"/>
    <mergeCell ref="M4:P4"/>
    <mergeCell ref="C4:F4"/>
    <mergeCell ref="H4:K4"/>
    <mergeCell ref="B54:C54"/>
    <mergeCell ref="B36:D36"/>
    <mergeCell ref="B45:C45"/>
    <mergeCell ref="C5:F5"/>
    <mergeCell ref="H5:K5"/>
    <mergeCell ref="I54:J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59EF-6D47-48C7-A594-1CEFEAF7E11B}">
  <dimension ref="B2:U45"/>
  <sheetViews>
    <sheetView showGridLines="0" zoomScale="70" zoomScaleNormal="70" workbookViewId="0">
      <selection activeCell="C3" sqref="C3"/>
    </sheetView>
  </sheetViews>
  <sheetFormatPr defaultRowHeight="15" x14ac:dyDescent="0.25"/>
  <cols>
    <col min="1" max="1" width="3.7109375" customWidth="1"/>
    <col min="2" max="2" width="8.28515625" bestFit="1" customWidth="1"/>
    <col min="3" max="3" width="25" bestFit="1" customWidth="1"/>
    <col min="4" max="4" width="17" customWidth="1"/>
    <col min="5" max="5" width="13.140625" customWidth="1"/>
    <col min="6" max="6" width="16.85546875" bestFit="1" customWidth="1"/>
    <col min="7" max="16" width="9.5703125" bestFit="1" customWidth="1"/>
    <col min="17" max="17" width="9.5703125" customWidth="1"/>
    <col min="18" max="19" width="9.5703125" bestFit="1" customWidth="1"/>
  </cols>
  <sheetData>
    <row r="2" spans="2:19" x14ac:dyDescent="0.25">
      <c r="B2" s="87" t="s">
        <v>23</v>
      </c>
      <c r="C2" s="337" t="s">
        <v>153</v>
      </c>
      <c r="D2" s="338"/>
      <c r="E2" s="338"/>
      <c r="F2" s="32" t="s">
        <v>6</v>
      </c>
      <c r="G2" s="359" t="s">
        <v>142</v>
      </c>
      <c r="H2" s="359"/>
      <c r="I2" s="33"/>
      <c r="J2" s="33"/>
      <c r="K2" s="33"/>
      <c r="L2" s="33"/>
      <c r="M2" s="33"/>
      <c r="N2" s="33"/>
      <c r="O2" s="33"/>
      <c r="P2" s="33"/>
      <c r="Q2" s="33"/>
      <c r="R2" s="33"/>
      <c r="S2" s="34"/>
    </row>
    <row r="3" spans="2:19" x14ac:dyDescent="0.25">
      <c r="C3" s="35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36"/>
    </row>
    <row r="4" spans="2:19" x14ac:dyDescent="0.25">
      <c r="C4" s="37" t="s">
        <v>1</v>
      </c>
      <c r="D4" s="38">
        <v>3750</v>
      </c>
      <c r="E4" s="27">
        <v>4000</v>
      </c>
      <c r="F4" s="27">
        <v>4250</v>
      </c>
      <c r="G4" s="27">
        <v>4500</v>
      </c>
      <c r="H4" s="27">
        <v>4750</v>
      </c>
      <c r="I4" s="27">
        <v>5000</v>
      </c>
      <c r="J4" s="27">
        <v>5250</v>
      </c>
      <c r="K4" s="27">
        <v>5500</v>
      </c>
      <c r="L4" s="27">
        <v>5750</v>
      </c>
      <c r="M4" s="27">
        <v>6000</v>
      </c>
      <c r="N4" s="27">
        <v>6250</v>
      </c>
      <c r="O4" s="27">
        <v>6500</v>
      </c>
      <c r="P4" s="27">
        <v>6750</v>
      </c>
      <c r="Q4" s="27">
        <v>7000</v>
      </c>
      <c r="R4" s="27">
        <v>7250</v>
      </c>
      <c r="S4" s="42">
        <v>7500</v>
      </c>
    </row>
    <row r="5" spans="2:19" x14ac:dyDescent="0.25">
      <c r="C5" s="37" t="s">
        <v>4</v>
      </c>
      <c r="D5" s="73">
        <v>51.16</v>
      </c>
      <c r="E5" s="73">
        <v>57.65</v>
      </c>
      <c r="F5" s="73">
        <v>65.022000000000006</v>
      </c>
      <c r="G5" s="73">
        <v>73.168000000000006</v>
      </c>
      <c r="H5" s="73">
        <v>82.26</v>
      </c>
      <c r="I5" s="73">
        <v>90.66</v>
      </c>
      <c r="J5" s="73">
        <v>101.65300000000001</v>
      </c>
      <c r="K5" s="73">
        <v>109.17</v>
      </c>
      <c r="L5" s="73">
        <v>115.38</v>
      </c>
      <c r="M5" s="73">
        <v>123.98</v>
      </c>
      <c r="N5" s="73">
        <v>128.25</v>
      </c>
      <c r="O5" s="73">
        <v>135.102</v>
      </c>
      <c r="P5" s="73">
        <v>137.22999999999999</v>
      </c>
      <c r="Q5" s="73">
        <v>136.43</v>
      </c>
      <c r="R5" s="73">
        <v>138.66</v>
      </c>
      <c r="S5" s="74">
        <v>137.9</v>
      </c>
    </row>
    <row r="6" spans="2:19" x14ac:dyDescent="0.25">
      <c r="C6" s="37" t="s">
        <v>5</v>
      </c>
      <c r="D6" s="76">
        <f t="shared" ref="D6:S6" si="0">D5/3600</f>
        <v>1.421111111111111E-2</v>
      </c>
      <c r="E6" s="76">
        <f t="shared" si="0"/>
        <v>1.601388888888889E-2</v>
      </c>
      <c r="F6" s="76">
        <f t="shared" si="0"/>
        <v>1.8061666666666667E-2</v>
      </c>
      <c r="G6" s="76">
        <f t="shared" si="0"/>
        <v>2.0324444444444447E-2</v>
      </c>
      <c r="H6" s="76">
        <f t="shared" si="0"/>
        <v>2.2850000000000002E-2</v>
      </c>
      <c r="I6" s="76">
        <f t="shared" si="0"/>
        <v>2.5183333333333332E-2</v>
      </c>
      <c r="J6" s="76">
        <f t="shared" si="0"/>
        <v>2.8236944444444446E-2</v>
      </c>
      <c r="K6" s="76">
        <f t="shared" si="0"/>
        <v>3.0325000000000001E-2</v>
      </c>
      <c r="L6" s="76">
        <f t="shared" si="0"/>
        <v>3.2050000000000002E-2</v>
      </c>
      <c r="M6" s="76">
        <f t="shared" si="0"/>
        <v>3.4438888888888887E-2</v>
      </c>
      <c r="N6" s="76">
        <f t="shared" si="0"/>
        <v>3.5624999999999997E-2</v>
      </c>
      <c r="O6" s="76">
        <f t="shared" si="0"/>
        <v>3.7528333333333337E-2</v>
      </c>
      <c r="P6" s="76">
        <f t="shared" si="0"/>
        <v>3.8119444444444442E-2</v>
      </c>
      <c r="Q6" s="76">
        <f t="shared" si="0"/>
        <v>3.7897222222222221E-2</v>
      </c>
      <c r="R6" s="76">
        <f t="shared" si="0"/>
        <v>3.8516666666666664E-2</v>
      </c>
      <c r="S6" s="80">
        <f t="shared" si="0"/>
        <v>3.8305555555555558E-2</v>
      </c>
    </row>
    <row r="7" spans="2:19" x14ac:dyDescent="0.25">
      <c r="C7" s="37" t="s">
        <v>7</v>
      </c>
      <c r="D7" s="73">
        <v>595.29999999999995</v>
      </c>
      <c r="E7" s="73">
        <v>625.6</v>
      </c>
      <c r="F7" s="73">
        <v>658.4</v>
      </c>
      <c r="G7" s="73">
        <v>691.8</v>
      </c>
      <c r="H7" s="73">
        <v>713.1</v>
      </c>
      <c r="I7" s="73">
        <v>720.9</v>
      </c>
      <c r="J7" s="73">
        <v>755.1</v>
      </c>
      <c r="K7" s="73">
        <v>763.5</v>
      </c>
      <c r="L7" s="73">
        <v>762.8</v>
      </c>
      <c r="M7" s="73">
        <v>782.9</v>
      </c>
      <c r="N7" s="73">
        <v>781.2</v>
      </c>
      <c r="O7" s="73">
        <v>783.1</v>
      </c>
      <c r="P7" s="73">
        <v>767.6</v>
      </c>
      <c r="Q7" s="73">
        <v>734.9</v>
      </c>
      <c r="R7" s="73">
        <v>718.1</v>
      </c>
      <c r="S7" s="74">
        <v>680</v>
      </c>
    </row>
    <row r="8" spans="2:19" ht="15.75" thickBot="1" x14ac:dyDescent="0.3">
      <c r="C8" s="37" t="s">
        <v>8</v>
      </c>
      <c r="D8" s="75">
        <f t="shared" ref="D8:S8" si="1">D7*6.28*D4/60/1000</f>
        <v>233.65525</v>
      </c>
      <c r="E8" s="75">
        <f t="shared" si="1"/>
        <v>261.91786666666673</v>
      </c>
      <c r="F8" s="75">
        <f t="shared" si="1"/>
        <v>292.87826666666666</v>
      </c>
      <c r="G8" s="75">
        <f t="shared" si="1"/>
        <v>325.83780000000002</v>
      </c>
      <c r="H8" s="75">
        <f t="shared" si="1"/>
        <v>354.52954999999997</v>
      </c>
      <c r="I8" s="75">
        <f t="shared" si="1"/>
        <v>377.27100000000007</v>
      </c>
      <c r="J8" s="75">
        <f t="shared" si="1"/>
        <v>414.92745000000002</v>
      </c>
      <c r="K8" s="75">
        <f t="shared" si="1"/>
        <v>439.5215</v>
      </c>
      <c r="L8" s="75">
        <f t="shared" si="1"/>
        <v>459.07846666666666</v>
      </c>
      <c r="M8" s="75">
        <f t="shared" si="1"/>
        <v>491.66120000000001</v>
      </c>
      <c r="N8" s="75">
        <f t="shared" si="1"/>
        <v>511.03500000000008</v>
      </c>
      <c r="O8" s="75">
        <f t="shared" si="1"/>
        <v>532.76903333333348</v>
      </c>
      <c r="P8" s="75">
        <f t="shared" si="1"/>
        <v>542.30939999999998</v>
      </c>
      <c r="Q8" s="75">
        <f t="shared" si="1"/>
        <v>538.43673333333345</v>
      </c>
      <c r="R8" s="75">
        <f t="shared" si="1"/>
        <v>544.91821666666669</v>
      </c>
      <c r="S8" s="81">
        <f t="shared" si="1"/>
        <v>533.80000000000007</v>
      </c>
    </row>
    <row r="9" spans="2:19" ht="15.75" thickBot="1" x14ac:dyDescent="0.3">
      <c r="C9" s="41" t="s">
        <v>9</v>
      </c>
      <c r="D9" s="67">
        <f t="shared" ref="D9:S9" si="2">D5*1000/D8</f>
        <v>218.95506306834537</v>
      </c>
      <c r="E9" s="68">
        <f t="shared" si="2"/>
        <v>220.10716845586194</v>
      </c>
      <c r="F9" s="68">
        <f t="shared" si="2"/>
        <v>222.01032784041792</v>
      </c>
      <c r="G9" s="68">
        <f t="shared" si="2"/>
        <v>224.55344346174689</v>
      </c>
      <c r="H9" s="68">
        <f t="shared" si="2"/>
        <v>232.02579305448589</v>
      </c>
      <c r="I9" s="68">
        <f t="shared" si="2"/>
        <v>240.30471464809111</v>
      </c>
      <c r="J9" s="68">
        <f t="shared" si="2"/>
        <v>244.98981689449565</v>
      </c>
      <c r="K9" s="68">
        <f t="shared" si="2"/>
        <v>248.38375369578051</v>
      </c>
      <c r="L9" s="68">
        <f t="shared" si="2"/>
        <v>251.32958388958053</v>
      </c>
      <c r="M9" s="68">
        <f t="shared" si="2"/>
        <v>252.16551560302094</v>
      </c>
      <c r="N9" s="68">
        <f t="shared" si="2"/>
        <v>250.9612844521412</v>
      </c>
      <c r="O9" s="68">
        <f t="shared" si="2"/>
        <v>253.58455831172864</v>
      </c>
      <c r="P9" s="68">
        <f t="shared" si="2"/>
        <v>253.04743012014913</v>
      </c>
      <c r="Q9" s="68">
        <f t="shared" si="2"/>
        <v>253.38167244904409</v>
      </c>
      <c r="R9" s="68">
        <f t="shared" si="2"/>
        <v>254.46020294238036</v>
      </c>
      <c r="S9" s="69">
        <f t="shared" si="2"/>
        <v>258.3364556013488</v>
      </c>
    </row>
    <row r="12" spans="2:19" x14ac:dyDescent="0.25">
      <c r="B12" s="87" t="s">
        <v>24</v>
      </c>
      <c r="C12" s="369" t="s">
        <v>152</v>
      </c>
      <c r="D12" s="370"/>
      <c r="E12" s="370"/>
      <c r="F12" s="32" t="s">
        <v>6</v>
      </c>
      <c r="G12" s="373" t="s">
        <v>142</v>
      </c>
      <c r="H12" s="37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</row>
    <row r="13" spans="2:19" x14ac:dyDescent="0.25">
      <c r="C13" s="3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36"/>
    </row>
    <row r="14" spans="2:19" x14ac:dyDescent="0.25">
      <c r="C14" s="37" t="s">
        <v>1</v>
      </c>
      <c r="D14" s="38">
        <v>3750</v>
      </c>
      <c r="E14" s="64">
        <v>4000</v>
      </c>
      <c r="F14" s="64">
        <v>4250</v>
      </c>
      <c r="G14" s="64">
        <v>4500</v>
      </c>
      <c r="H14" s="64">
        <v>4750</v>
      </c>
      <c r="I14" s="64">
        <v>5000</v>
      </c>
      <c r="J14" s="64">
        <v>5250</v>
      </c>
      <c r="K14" s="64">
        <v>5500</v>
      </c>
      <c r="L14" s="64">
        <v>5750</v>
      </c>
      <c r="M14" s="64">
        <v>6000</v>
      </c>
      <c r="N14" s="64">
        <v>6250</v>
      </c>
      <c r="O14" s="64">
        <v>6500</v>
      </c>
      <c r="P14" s="64">
        <v>6750</v>
      </c>
      <c r="Q14" s="64">
        <v>7000</v>
      </c>
      <c r="R14" s="64">
        <v>7250</v>
      </c>
      <c r="S14" s="65">
        <v>7500</v>
      </c>
    </row>
    <row r="15" spans="2:19" x14ac:dyDescent="0.25">
      <c r="C15" s="37" t="s">
        <v>4</v>
      </c>
      <c r="D15" s="63">
        <v>50.008000000000003</v>
      </c>
      <c r="E15" s="63">
        <v>56.975999999999999</v>
      </c>
      <c r="F15" s="63">
        <v>62.247</v>
      </c>
      <c r="G15" s="63">
        <v>69.706999999999994</v>
      </c>
      <c r="H15" s="63">
        <v>77.369</v>
      </c>
      <c r="I15" s="63">
        <v>86.769000000000005</v>
      </c>
      <c r="J15" s="63">
        <v>94.855000000000004</v>
      </c>
      <c r="K15" s="63">
        <v>102.096</v>
      </c>
      <c r="L15" s="63">
        <v>108.989</v>
      </c>
      <c r="M15" s="63">
        <v>113.291</v>
      </c>
      <c r="N15" s="63">
        <v>119.12</v>
      </c>
      <c r="O15" s="63">
        <v>124.247</v>
      </c>
      <c r="P15" s="63">
        <v>129.18799999999999</v>
      </c>
      <c r="Q15" s="63">
        <v>131.35400000000001</v>
      </c>
      <c r="R15" s="63">
        <v>131.898</v>
      </c>
      <c r="S15" s="66">
        <v>134.63499999999999</v>
      </c>
    </row>
    <row r="16" spans="2:19" x14ac:dyDescent="0.25">
      <c r="C16" s="37" t="s">
        <v>5</v>
      </c>
      <c r="D16" s="78">
        <f t="shared" ref="D16:S16" si="3">D15/3600</f>
        <v>1.3891111111111111E-2</v>
      </c>
      <c r="E16" s="78">
        <f t="shared" si="3"/>
        <v>1.5826666666666666E-2</v>
      </c>
      <c r="F16" s="78">
        <f t="shared" si="3"/>
        <v>1.7290833333333332E-2</v>
      </c>
      <c r="G16" s="78">
        <f t="shared" si="3"/>
        <v>1.9363055555555553E-2</v>
      </c>
      <c r="H16" s="78">
        <f t="shared" si="3"/>
        <v>2.149138888888889E-2</v>
      </c>
      <c r="I16" s="78">
        <f t="shared" si="3"/>
        <v>2.4102500000000002E-2</v>
      </c>
      <c r="J16" s="78">
        <f t="shared" si="3"/>
        <v>2.6348611111111111E-2</v>
      </c>
      <c r="K16" s="78">
        <f t="shared" si="3"/>
        <v>2.836E-2</v>
      </c>
      <c r="L16" s="78">
        <f t="shared" si="3"/>
        <v>3.0274722222222224E-2</v>
      </c>
      <c r="M16" s="78">
        <f t="shared" si="3"/>
        <v>3.1469722222222218E-2</v>
      </c>
      <c r="N16" s="78">
        <f t="shared" si="3"/>
        <v>3.308888888888889E-2</v>
      </c>
      <c r="O16" s="78">
        <f t="shared" si="3"/>
        <v>3.4513055555555554E-2</v>
      </c>
      <c r="P16" s="78">
        <f t="shared" si="3"/>
        <v>3.5885555555555552E-2</v>
      </c>
      <c r="Q16" s="78">
        <f t="shared" si="3"/>
        <v>3.6487222222222226E-2</v>
      </c>
      <c r="R16" s="78">
        <f t="shared" si="3"/>
        <v>3.6638333333333335E-2</v>
      </c>
      <c r="S16" s="79">
        <f t="shared" si="3"/>
        <v>3.7398611111111112E-2</v>
      </c>
    </row>
    <row r="17" spans="3:21" x14ac:dyDescent="0.25">
      <c r="C17" s="37" t="s">
        <v>18</v>
      </c>
      <c r="D17" s="63">
        <v>588.5</v>
      </c>
      <c r="E17" s="63">
        <v>629</v>
      </c>
      <c r="F17" s="63">
        <v>635.79999999999995</v>
      </c>
      <c r="G17" s="63">
        <v>671.4</v>
      </c>
      <c r="H17" s="63">
        <v>692.1</v>
      </c>
      <c r="I17" s="63">
        <v>717.5</v>
      </c>
      <c r="J17" s="63">
        <v>739.7</v>
      </c>
      <c r="K17" s="63">
        <v>759.3</v>
      </c>
      <c r="L17" s="63">
        <v>770</v>
      </c>
      <c r="M17" s="63">
        <v>775.8</v>
      </c>
      <c r="N17" s="63">
        <v>775.2</v>
      </c>
      <c r="O17" s="63">
        <v>768.8</v>
      </c>
      <c r="P17" s="63">
        <v>764.3</v>
      </c>
      <c r="Q17" s="63">
        <v>740.2</v>
      </c>
      <c r="R17" s="63">
        <v>717.5</v>
      </c>
      <c r="S17" s="66">
        <v>699</v>
      </c>
    </row>
    <row r="18" spans="3:21" ht="15.75" thickBot="1" x14ac:dyDescent="0.3">
      <c r="C18" s="37" t="s">
        <v>19</v>
      </c>
      <c r="D18" s="63">
        <f t="shared" ref="D18:S18" si="4">D17*6.28*D14/60/1000</f>
        <v>230.98625000000001</v>
      </c>
      <c r="E18" s="63">
        <f t="shared" si="4"/>
        <v>263.34133333333335</v>
      </c>
      <c r="F18" s="63">
        <f t="shared" si="4"/>
        <v>282.82503333333335</v>
      </c>
      <c r="G18" s="63">
        <f t="shared" si="4"/>
        <v>316.2294</v>
      </c>
      <c r="H18" s="63">
        <f t="shared" si="4"/>
        <v>344.08904999999999</v>
      </c>
      <c r="I18" s="63">
        <f t="shared" si="4"/>
        <v>375.49166666666673</v>
      </c>
      <c r="J18" s="63">
        <f t="shared" si="4"/>
        <v>406.46515000000011</v>
      </c>
      <c r="K18" s="63">
        <f t="shared" si="4"/>
        <v>437.10369999999995</v>
      </c>
      <c r="L18" s="63">
        <f t="shared" si="4"/>
        <v>463.41166666666675</v>
      </c>
      <c r="M18" s="63">
        <f t="shared" si="4"/>
        <v>487.20240000000007</v>
      </c>
      <c r="N18" s="63">
        <f t="shared" si="4"/>
        <v>507.11000000000007</v>
      </c>
      <c r="O18" s="63">
        <f t="shared" si="4"/>
        <v>523.04026666666675</v>
      </c>
      <c r="P18" s="63">
        <f t="shared" si="4"/>
        <v>539.97794999999996</v>
      </c>
      <c r="Q18" s="63">
        <f t="shared" si="4"/>
        <v>542.31986666666671</v>
      </c>
      <c r="R18" s="63">
        <f t="shared" si="4"/>
        <v>544.46291666666673</v>
      </c>
      <c r="S18" s="66">
        <f t="shared" si="4"/>
        <v>548.71500000000015</v>
      </c>
    </row>
    <row r="19" spans="3:21" ht="15.75" thickBot="1" x14ac:dyDescent="0.3">
      <c r="C19" s="41" t="s">
        <v>21</v>
      </c>
      <c r="D19" s="68">
        <f t="shared" ref="D19:S19" si="5">D15*1000/D18</f>
        <v>216.49773525480413</v>
      </c>
      <c r="E19" s="68">
        <f t="shared" si="5"/>
        <v>216.35798406124368</v>
      </c>
      <c r="F19" s="68">
        <f t="shared" si="5"/>
        <v>220.09013582131047</v>
      </c>
      <c r="G19" s="68">
        <f t="shared" si="5"/>
        <v>220.43174986259976</v>
      </c>
      <c r="H19" s="68">
        <f t="shared" si="5"/>
        <v>224.85167720390987</v>
      </c>
      <c r="I19" s="68">
        <f t="shared" si="5"/>
        <v>231.08102709780505</v>
      </c>
      <c r="J19" s="68">
        <f t="shared" si="5"/>
        <v>233.365640326114</v>
      </c>
      <c r="K19" s="68">
        <f t="shared" si="5"/>
        <v>233.57386359346768</v>
      </c>
      <c r="L19" s="68">
        <f t="shared" si="5"/>
        <v>235.18829550399749</v>
      </c>
      <c r="M19" s="68">
        <f t="shared" si="5"/>
        <v>232.53374778120957</v>
      </c>
      <c r="N19" s="68">
        <f t="shared" si="5"/>
        <v>234.89972589773419</v>
      </c>
      <c r="O19" s="68">
        <f t="shared" si="5"/>
        <v>237.5476763803016</v>
      </c>
      <c r="P19" s="68">
        <f t="shared" si="5"/>
        <v>239.24680628162685</v>
      </c>
      <c r="Q19" s="68">
        <f t="shared" si="5"/>
        <v>242.20761228490244</v>
      </c>
      <c r="R19" s="68">
        <f t="shared" si="5"/>
        <v>242.25341334082285</v>
      </c>
      <c r="S19" s="69">
        <f t="shared" si="5"/>
        <v>245.3641690130577</v>
      </c>
    </row>
    <row r="23" spans="3:21" x14ac:dyDescent="0.25">
      <c r="C23" s="371" t="s">
        <v>25</v>
      </c>
      <c r="D23" s="372"/>
      <c r="E23" s="372"/>
      <c r="F23" s="37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4"/>
    </row>
    <row r="24" spans="3:21" x14ac:dyDescent="0.25">
      <c r="C24" s="35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36"/>
      <c r="U24" t="s">
        <v>26</v>
      </c>
    </row>
    <row r="25" spans="3:21" x14ac:dyDescent="0.25">
      <c r="C25" s="37" t="s">
        <v>1</v>
      </c>
      <c r="D25" s="64">
        <v>3750</v>
      </c>
      <c r="E25" s="64">
        <v>4000</v>
      </c>
      <c r="F25" s="64">
        <v>4250</v>
      </c>
      <c r="G25" s="64">
        <v>4500</v>
      </c>
      <c r="H25" s="64">
        <v>4750</v>
      </c>
      <c r="I25" s="64">
        <v>5000</v>
      </c>
      <c r="J25" s="64">
        <v>5250</v>
      </c>
      <c r="K25" s="64">
        <v>5500</v>
      </c>
      <c r="L25" s="64">
        <v>5750</v>
      </c>
      <c r="M25" s="64">
        <v>6000</v>
      </c>
      <c r="N25" s="64">
        <v>6250</v>
      </c>
      <c r="O25" s="64">
        <v>6500</v>
      </c>
      <c r="P25" s="64">
        <v>6750</v>
      </c>
      <c r="Q25" s="64">
        <v>7000</v>
      </c>
      <c r="R25" s="64">
        <v>7250</v>
      </c>
      <c r="S25" s="65">
        <v>7500</v>
      </c>
    </row>
    <row r="26" spans="3:21" x14ac:dyDescent="0.25">
      <c r="C26" s="37" t="s">
        <v>4</v>
      </c>
      <c r="D26" s="47">
        <f>(D15-D5)/D5</f>
        <v>-2.2517591868647262E-2</v>
      </c>
      <c r="E26" s="47">
        <f t="shared" ref="E26:S26" si="6">(E15-E5)/E5</f>
        <v>-1.1691240242844745E-2</v>
      </c>
      <c r="F26" s="47">
        <f t="shared" si="6"/>
        <v>-4.2677862877180117E-2</v>
      </c>
      <c r="G26" s="47">
        <f t="shared" si="6"/>
        <v>-4.7302099278373227E-2</v>
      </c>
      <c r="H26" s="47">
        <f t="shared" si="6"/>
        <v>-5.9457816678823307E-2</v>
      </c>
      <c r="I26" s="47">
        <f t="shared" si="6"/>
        <v>-4.291859695565841E-2</v>
      </c>
      <c r="J26" s="47">
        <f t="shared" si="6"/>
        <v>-6.6874563465908546E-2</v>
      </c>
      <c r="K26" s="47">
        <f t="shared" si="6"/>
        <v>-6.4798021434459993E-2</v>
      </c>
      <c r="L26" s="47">
        <f t="shared" si="6"/>
        <v>-5.5390882301958669E-2</v>
      </c>
      <c r="M26" s="47">
        <f t="shared" si="6"/>
        <v>-8.6215518632037483E-2</v>
      </c>
      <c r="N26" s="47">
        <f t="shared" si="6"/>
        <v>-7.1189083820662732E-2</v>
      </c>
      <c r="O26" s="47">
        <f t="shared" si="6"/>
        <v>-8.0346701011087943E-2</v>
      </c>
      <c r="P26" s="47">
        <f t="shared" si="6"/>
        <v>-5.8602346425708683E-2</v>
      </c>
      <c r="Q26" s="47">
        <f t="shared" si="6"/>
        <v>-3.7205893132009039E-2</v>
      </c>
      <c r="R26" s="47">
        <f t="shared" si="6"/>
        <v>-4.8766767633059288E-2</v>
      </c>
      <c r="S26" s="92">
        <f t="shared" si="6"/>
        <v>-2.367657722987683E-2</v>
      </c>
      <c r="U26" s="93">
        <f>AVERAGE(E26:S26)</f>
        <v>-5.3140931407976606E-2</v>
      </c>
    </row>
    <row r="27" spans="3:21" x14ac:dyDescent="0.25">
      <c r="C27" s="37" t="s">
        <v>5</v>
      </c>
      <c r="D27" s="47">
        <f t="shared" ref="D27" si="7">(D16-D6)/D6</f>
        <v>-2.2517591868647321E-2</v>
      </c>
      <c r="E27" s="47">
        <f t="shared" ref="E27:S27" si="8">(E16-E6)/E6</f>
        <v>-1.1691240242844866E-2</v>
      </c>
      <c r="F27" s="47">
        <f t="shared" si="8"/>
        <v>-4.2677862877180131E-2</v>
      </c>
      <c r="G27" s="47">
        <f t="shared" si="8"/>
        <v>-4.7302099278373283E-2</v>
      </c>
      <c r="H27" s="47">
        <f t="shared" si="8"/>
        <v>-5.94578166788233E-2</v>
      </c>
      <c r="I27" s="47">
        <f t="shared" si="8"/>
        <v>-4.2918596955658354E-2</v>
      </c>
      <c r="J27" s="47">
        <f t="shared" si="8"/>
        <v>-6.6874563465908601E-2</v>
      </c>
      <c r="K27" s="47">
        <f t="shared" si="8"/>
        <v>-6.4798021434460062E-2</v>
      </c>
      <c r="L27" s="47">
        <f t="shared" si="8"/>
        <v>-5.5390882301958759E-2</v>
      </c>
      <c r="M27" s="47">
        <f t="shared" si="8"/>
        <v>-8.6215518632037483E-2</v>
      </c>
      <c r="N27" s="47">
        <f t="shared" si="8"/>
        <v>-7.1189083820662663E-2</v>
      </c>
      <c r="O27" s="47">
        <f t="shared" si="8"/>
        <v>-8.0346701011088054E-2</v>
      </c>
      <c r="P27" s="47">
        <f t="shared" si="8"/>
        <v>-5.8602346425708683E-2</v>
      </c>
      <c r="Q27" s="47">
        <f t="shared" si="8"/>
        <v>-3.7205893132008949E-2</v>
      </c>
      <c r="R27" s="47">
        <f t="shared" si="8"/>
        <v>-4.8766767633059177E-2</v>
      </c>
      <c r="S27" s="92">
        <f t="shared" si="8"/>
        <v>-2.3676577229876771E-2</v>
      </c>
      <c r="U27" s="93">
        <f>AVERAGE(E27:S27)</f>
        <v>-5.314093140797662E-2</v>
      </c>
    </row>
    <row r="28" spans="3:21" x14ac:dyDescent="0.25">
      <c r="C28" s="37" t="s">
        <v>18</v>
      </c>
      <c r="D28" s="47">
        <f t="shared" ref="D28" si="9">(D17-D7)/D7</f>
        <v>-1.1422812027549059E-2</v>
      </c>
      <c r="E28" s="47">
        <f t="shared" ref="E28:S28" si="10">(E17-E7)/E7</f>
        <v>5.4347826086956156E-3</v>
      </c>
      <c r="F28" s="47">
        <f t="shared" si="10"/>
        <v>-3.432563791008509E-2</v>
      </c>
      <c r="G28" s="47">
        <f t="shared" si="10"/>
        <v>-2.9488291413703353E-2</v>
      </c>
      <c r="H28" s="47">
        <f t="shared" si="10"/>
        <v>-2.9448885149347917E-2</v>
      </c>
      <c r="I28" s="47">
        <f t="shared" si="10"/>
        <v>-4.7163268137050598E-3</v>
      </c>
      <c r="J28" s="47">
        <f t="shared" si="10"/>
        <v>-2.0394649715269469E-2</v>
      </c>
      <c r="K28" s="47">
        <f t="shared" si="10"/>
        <v>-5.5009823182711791E-3</v>
      </c>
      <c r="L28" s="47">
        <f t="shared" si="10"/>
        <v>9.4389092815941877E-3</v>
      </c>
      <c r="M28" s="47">
        <f t="shared" si="10"/>
        <v>-9.0688465959892998E-3</v>
      </c>
      <c r="N28" s="47">
        <f t="shared" si="10"/>
        <v>-7.6804915514592925E-3</v>
      </c>
      <c r="O28" s="47">
        <f t="shared" si="10"/>
        <v>-1.8260758523815691E-2</v>
      </c>
      <c r="P28" s="47">
        <f t="shared" si="10"/>
        <v>-4.2991141219385987E-3</v>
      </c>
      <c r="Q28" s="47">
        <f t="shared" si="10"/>
        <v>7.2118655599402205E-3</v>
      </c>
      <c r="R28" s="47">
        <f t="shared" si="10"/>
        <v>-8.3553822587386533E-4</v>
      </c>
      <c r="S28" s="92">
        <f t="shared" si="10"/>
        <v>2.7941176470588237E-2</v>
      </c>
      <c r="U28" s="93">
        <f>AVERAGE(E28:S28)</f>
        <v>-7.599519227909371E-3</v>
      </c>
    </row>
    <row r="29" spans="3:21" x14ac:dyDescent="0.25">
      <c r="C29" s="37" t="s">
        <v>19</v>
      </c>
      <c r="D29" s="47">
        <f t="shared" ref="D29" si="11">(D18-D8)/D8</f>
        <v>-1.1422812027549061E-2</v>
      </c>
      <c r="E29" s="47">
        <f t="shared" ref="E29:S29" si="12">(E18-E8)/E8</f>
        <v>5.4347826086955002E-3</v>
      </c>
      <c r="F29" s="47">
        <f t="shared" si="12"/>
        <v>-3.4325637910084979E-2</v>
      </c>
      <c r="G29" s="47">
        <f t="shared" si="12"/>
        <v>-2.9488291413703436E-2</v>
      </c>
      <c r="H29" s="47">
        <f t="shared" si="12"/>
        <v>-2.9448885149347879E-2</v>
      </c>
      <c r="I29" s="47">
        <f t="shared" si="12"/>
        <v>-4.7163268137051092E-3</v>
      </c>
      <c r="J29" s="47">
        <f t="shared" si="12"/>
        <v>-2.0394649715269293E-2</v>
      </c>
      <c r="K29" s="47">
        <f t="shared" si="12"/>
        <v>-5.5009823182712485E-3</v>
      </c>
      <c r="L29" s="47">
        <f t="shared" si="12"/>
        <v>9.438909281594323E-3</v>
      </c>
      <c r="M29" s="47">
        <f t="shared" si="12"/>
        <v>-9.0688465959891471E-3</v>
      </c>
      <c r="N29" s="47">
        <f t="shared" si="12"/>
        <v>-7.6804915514593142E-3</v>
      </c>
      <c r="O29" s="47">
        <f t="shared" si="12"/>
        <v>-1.8260758523815718E-2</v>
      </c>
      <c r="P29" s="47">
        <f t="shared" si="12"/>
        <v>-4.2991141219385432E-3</v>
      </c>
      <c r="Q29" s="47">
        <f t="shared" si="12"/>
        <v>7.2118655599399941E-3</v>
      </c>
      <c r="R29" s="47">
        <f t="shared" si="12"/>
        <v>-8.3553822587377057E-4</v>
      </c>
      <c r="S29" s="92">
        <f t="shared" si="12"/>
        <v>2.7941176470588375E-2</v>
      </c>
      <c r="U29" s="93">
        <f>AVERAGE(E29:S29)</f>
        <v>-7.5995192279093484E-3</v>
      </c>
    </row>
    <row r="30" spans="3:21" x14ac:dyDescent="0.25">
      <c r="C30" s="91" t="s">
        <v>21</v>
      </c>
      <c r="D30" s="88">
        <f t="shared" ref="D30" si="13">(D19-D9)/D9</f>
        <v>-1.1222977806976777E-2</v>
      </c>
      <c r="E30" s="89">
        <f t="shared" ref="E30:S30" si="14">(E19-E9)/E9</f>
        <v>-1.7033449755045473E-2</v>
      </c>
      <c r="F30" s="89">
        <f t="shared" si="14"/>
        <v>-8.6491112273285303E-3</v>
      </c>
      <c r="G30" s="89">
        <f t="shared" si="14"/>
        <v>-1.8355067442327039E-2</v>
      </c>
      <c r="H30" s="89">
        <f t="shared" si="14"/>
        <v>-3.0919475615761995E-2</v>
      </c>
      <c r="I30" s="89">
        <f t="shared" si="14"/>
        <v>-3.8383298321023301E-2</v>
      </c>
      <c r="J30" s="89">
        <f t="shared" si="14"/>
        <v>-4.744759074369026E-2</v>
      </c>
      <c r="K30" s="89">
        <f t="shared" si="14"/>
        <v>-5.9625035381548876E-2</v>
      </c>
      <c r="L30" s="89">
        <f t="shared" si="14"/>
        <v>-6.4223590934979521E-2</v>
      </c>
      <c r="M30" s="89">
        <f t="shared" si="14"/>
        <v>-7.7852706286442669E-2</v>
      </c>
      <c r="N30" s="89">
        <f t="shared" si="14"/>
        <v>-6.4000144840946516E-2</v>
      </c>
      <c r="O30" s="89">
        <f t="shared" si="14"/>
        <v>-6.3240766859759212E-2</v>
      </c>
      <c r="P30" s="89">
        <f t="shared" si="14"/>
        <v>-5.4537696083179453E-2</v>
      </c>
      <c r="Q30" s="89">
        <f t="shared" si="14"/>
        <v>-4.4099717458407697E-2</v>
      </c>
      <c r="R30" s="89">
        <f t="shared" si="14"/>
        <v>-4.7971311271498146E-2</v>
      </c>
      <c r="S30" s="90">
        <f t="shared" si="14"/>
        <v>-5.0214696017619929E-2</v>
      </c>
      <c r="U30" s="94">
        <f>AVERAGE(E30:S30)</f>
        <v>-4.5770243882637243E-2</v>
      </c>
    </row>
    <row r="36" spans="3:19" x14ac:dyDescent="0.25"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43" spans="3:19" x14ac:dyDescent="0.25">
      <c r="C43" s="15"/>
      <c r="D43" s="15"/>
    </row>
    <row r="44" spans="3:19" x14ac:dyDescent="0.25">
      <c r="C44" s="14"/>
      <c r="D44" s="14"/>
    </row>
    <row r="45" spans="3:19" x14ac:dyDescent="0.25">
      <c r="C45" s="103"/>
      <c r="D45" s="103"/>
    </row>
  </sheetData>
  <mergeCells count="5">
    <mergeCell ref="C2:E2"/>
    <mergeCell ref="G2:H2"/>
    <mergeCell ref="C12:E12"/>
    <mergeCell ref="C23:F23"/>
    <mergeCell ref="G12:H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27DB-CBFC-4EDF-B5C9-5BD4ADEBB47F}">
  <dimension ref="A2:Q60"/>
  <sheetViews>
    <sheetView zoomScale="85" zoomScaleNormal="85" workbookViewId="0">
      <selection activeCell="H31" sqref="H31"/>
    </sheetView>
  </sheetViews>
  <sheetFormatPr defaultRowHeight="15" x14ac:dyDescent="0.25"/>
  <cols>
    <col min="1" max="1" width="3.7109375" customWidth="1"/>
    <col min="2" max="2" width="18.28515625" customWidth="1"/>
    <col min="3" max="3" width="19.42578125" customWidth="1"/>
    <col min="4" max="4" width="21.7109375" bestFit="1" customWidth="1"/>
    <col min="5" max="5" width="20.7109375" customWidth="1"/>
    <col min="6" max="6" width="17.28515625" customWidth="1"/>
    <col min="7" max="7" width="16" bestFit="1" customWidth="1"/>
    <col min="8" max="8" width="30.140625" bestFit="1" customWidth="1"/>
    <col min="9" max="9" width="28" bestFit="1" customWidth="1"/>
    <col min="10" max="11" width="17.7109375" bestFit="1" customWidth="1"/>
    <col min="12" max="14" width="9.5703125" bestFit="1" customWidth="1"/>
    <col min="15" max="15" width="9.5703125" customWidth="1"/>
    <col min="16" max="17" width="9.5703125" bestFit="1" customWidth="1"/>
    <col min="18" max="19" width="30" bestFit="1" customWidth="1"/>
    <col min="20" max="20" width="11.28515625" customWidth="1"/>
  </cols>
  <sheetData>
    <row r="2" spans="1:12" ht="21" x14ac:dyDescent="0.35">
      <c r="B2" s="376" t="s">
        <v>27</v>
      </c>
      <c r="C2" s="376"/>
    </row>
    <row r="4" spans="1:12" ht="15.75" thickBot="1" x14ac:dyDescent="0.3">
      <c r="B4" s="377" t="s">
        <v>29</v>
      </c>
      <c r="C4" s="377"/>
    </row>
    <row r="5" spans="1:12" ht="15.75" thickBot="1" x14ac:dyDescent="0.3">
      <c r="A5" s="261"/>
      <c r="B5" s="95" t="s">
        <v>28</v>
      </c>
      <c r="C5" s="98">
        <v>0</v>
      </c>
      <c r="D5" s="99">
        <v>4000</v>
      </c>
      <c r="E5" s="99">
        <v>4500</v>
      </c>
      <c r="F5" s="99">
        <v>5000</v>
      </c>
      <c r="G5" s="99">
        <v>5500</v>
      </c>
      <c r="H5" s="99">
        <v>6000</v>
      </c>
      <c r="I5" s="99">
        <v>6500</v>
      </c>
      <c r="J5" s="99">
        <v>7000</v>
      </c>
      <c r="K5" s="99">
        <v>7500</v>
      </c>
      <c r="L5" s="100">
        <v>8000</v>
      </c>
    </row>
    <row r="6" spans="1:12" x14ac:dyDescent="0.25">
      <c r="A6" s="261"/>
      <c r="B6" s="96">
        <v>0</v>
      </c>
      <c r="C6" s="19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1">
        <v>0</v>
      </c>
    </row>
    <row r="7" spans="1:12" ht="15.75" thickBot="1" x14ac:dyDescent="0.3">
      <c r="A7" s="261"/>
      <c r="B7" s="97">
        <v>1</v>
      </c>
      <c r="C7" s="101">
        <v>0</v>
      </c>
      <c r="D7" s="30">
        <v>70.53</v>
      </c>
      <c r="E7" s="30">
        <v>85.42</v>
      </c>
      <c r="F7" s="30">
        <v>99.56</v>
      </c>
      <c r="G7" s="30">
        <v>115.52</v>
      </c>
      <c r="H7" s="30">
        <v>128.59</v>
      </c>
      <c r="I7" s="30">
        <v>138.47</v>
      </c>
      <c r="J7" s="30">
        <v>146.68</v>
      </c>
      <c r="K7" s="30">
        <v>150.47999999999999</v>
      </c>
      <c r="L7" s="31">
        <v>160.51</v>
      </c>
    </row>
    <row r="8" spans="1:12" x14ac:dyDescent="0.25">
      <c r="A8" s="261"/>
      <c r="B8" s="38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ht="15.75" thickBot="1" x14ac:dyDescent="0.3">
      <c r="A9" s="261"/>
      <c r="B9" s="378" t="s">
        <v>30</v>
      </c>
      <c r="C9" s="378"/>
      <c r="D9" s="180" t="s">
        <v>103</v>
      </c>
      <c r="L9" s="13"/>
    </row>
    <row r="10" spans="1:12" ht="15.75" thickBot="1" x14ac:dyDescent="0.3">
      <c r="A10" s="261"/>
      <c r="B10" s="95" t="s">
        <v>28</v>
      </c>
      <c r="C10" s="104">
        <v>0</v>
      </c>
      <c r="D10" s="105">
        <v>4000</v>
      </c>
      <c r="E10" s="105">
        <v>4500</v>
      </c>
      <c r="F10" s="105">
        <v>5000</v>
      </c>
      <c r="G10" s="105">
        <v>5500</v>
      </c>
      <c r="H10" s="105">
        <v>6000</v>
      </c>
      <c r="I10" s="105">
        <v>6500</v>
      </c>
      <c r="J10" s="105">
        <v>7000</v>
      </c>
      <c r="K10" s="106">
        <v>7500</v>
      </c>
      <c r="L10" s="13"/>
    </row>
    <row r="11" spans="1:12" x14ac:dyDescent="0.25">
      <c r="A11" s="261"/>
      <c r="B11" s="96">
        <v>0</v>
      </c>
      <c r="C11" s="194">
        <v>0</v>
      </c>
      <c r="D11" s="195">
        <v>10.310600284353756</v>
      </c>
      <c r="E11" s="195">
        <v>9.959902688549807</v>
      </c>
      <c r="F11" s="195">
        <v>9.4753821117628085</v>
      </c>
      <c r="G11" s="195">
        <v>8.8570385539927567</v>
      </c>
      <c r="H11" s="195">
        <v>8.1048720152396871</v>
      </c>
      <c r="I11" s="195">
        <v>7.2188824955035686</v>
      </c>
      <c r="J11" s="195">
        <v>6.1990699947843959</v>
      </c>
      <c r="K11" s="196">
        <v>5.045434513082208</v>
      </c>
      <c r="L11" s="13"/>
    </row>
    <row r="12" spans="1:12" x14ac:dyDescent="0.25">
      <c r="A12" s="261"/>
      <c r="B12" s="113">
        <v>0.5</v>
      </c>
      <c r="C12" s="197">
        <v>0</v>
      </c>
      <c r="D12" s="39">
        <v>37.305280142177047</v>
      </c>
      <c r="E12" s="39">
        <v>43.62991134427476</v>
      </c>
      <c r="F12" s="39">
        <v>51.337711055881442</v>
      </c>
      <c r="G12" s="39">
        <v>62.328579276996372</v>
      </c>
      <c r="H12" s="39">
        <v>74.402376007619878</v>
      </c>
      <c r="I12" s="39">
        <v>82.059381247751631</v>
      </c>
      <c r="J12" s="39">
        <v>79.599534997392354</v>
      </c>
      <c r="K12" s="198">
        <v>78.572717256540969</v>
      </c>
      <c r="L12" s="13"/>
    </row>
    <row r="13" spans="1:12" ht="15.75" thickBot="1" x14ac:dyDescent="0.3">
      <c r="A13" s="261"/>
      <c r="B13" s="97">
        <v>1</v>
      </c>
      <c r="C13" s="199">
        <v>0</v>
      </c>
      <c r="D13" s="200">
        <v>64.299959999999999</v>
      </c>
      <c r="E13" s="200">
        <v>77.29992</v>
      </c>
      <c r="F13" s="200">
        <v>93.200040000000001</v>
      </c>
      <c r="G13" s="200">
        <v>115.80011999999999</v>
      </c>
      <c r="H13" s="200">
        <v>140.69988000000001</v>
      </c>
      <c r="I13" s="200">
        <v>156.89988</v>
      </c>
      <c r="J13" s="200">
        <v>153</v>
      </c>
      <c r="K13" s="201">
        <v>152.10000000000002</v>
      </c>
      <c r="L13" s="13"/>
    </row>
    <row r="14" spans="1:12" x14ac:dyDescent="0.25">
      <c r="A14" s="261"/>
    </row>
    <row r="15" spans="1:12" ht="15.75" thickBot="1" x14ac:dyDescent="0.3">
      <c r="A15" s="261"/>
      <c r="B15" s="368" t="s">
        <v>54</v>
      </c>
      <c r="C15" s="368"/>
    </row>
    <row r="16" spans="1:12" ht="15.75" thickBot="1" x14ac:dyDescent="0.3">
      <c r="A16" s="261"/>
      <c r="B16" s="95" t="s">
        <v>28</v>
      </c>
      <c r="C16" s="98">
        <v>0</v>
      </c>
      <c r="D16" s="99">
        <v>4000</v>
      </c>
      <c r="E16" s="99">
        <v>4500</v>
      </c>
      <c r="F16" s="99">
        <v>5000</v>
      </c>
      <c r="G16" s="99">
        <v>5500</v>
      </c>
      <c r="H16" s="99">
        <v>6000</v>
      </c>
      <c r="I16" s="99">
        <v>6500</v>
      </c>
      <c r="J16" s="99">
        <v>7000</v>
      </c>
      <c r="K16" s="100">
        <v>7500</v>
      </c>
    </row>
    <row r="17" spans="1:17" x14ac:dyDescent="0.25">
      <c r="A17" s="261"/>
      <c r="B17" s="96">
        <v>0</v>
      </c>
      <c r="C17" s="202">
        <v>0</v>
      </c>
      <c r="D17" s="203">
        <v>10.310600284353756</v>
      </c>
      <c r="E17" s="203">
        <v>9.959902688549807</v>
      </c>
      <c r="F17" s="203">
        <v>9.4753821117628085</v>
      </c>
      <c r="G17" s="203">
        <v>8.8570385539927567</v>
      </c>
      <c r="H17" s="203">
        <v>8.1048720152396871</v>
      </c>
      <c r="I17" s="203">
        <v>7.2188824955035686</v>
      </c>
      <c r="J17" s="203">
        <v>6.1990699947843959</v>
      </c>
      <c r="K17" s="204">
        <v>5.045434513082208</v>
      </c>
    </row>
    <row r="18" spans="1:17" x14ac:dyDescent="0.25">
      <c r="A18" s="261"/>
      <c r="B18" s="113">
        <v>0.5</v>
      </c>
      <c r="C18" s="205">
        <v>0</v>
      </c>
      <c r="D18" s="206">
        <v>21.108931078792857</v>
      </c>
      <c r="E18" s="206">
        <v>30.732001019499851</v>
      </c>
      <c r="F18" s="206">
        <v>39.914360258956201</v>
      </c>
      <c r="G18" s="206">
        <v>48.656008797161405</v>
      </c>
      <c r="H18" s="206">
        <v>56.956946634116285</v>
      </c>
      <c r="I18" s="206">
        <v>64.817173769820116</v>
      </c>
      <c r="J18" s="206">
        <v>72.236690204273287</v>
      </c>
      <c r="K18" s="207">
        <v>79.21549593747541</v>
      </c>
    </row>
    <row r="19" spans="1:17" ht="15.75" thickBot="1" x14ac:dyDescent="0.3">
      <c r="A19" s="261"/>
      <c r="B19" s="97">
        <v>1</v>
      </c>
      <c r="C19" s="199">
        <v>0</v>
      </c>
      <c r="D19" s="200">
        <v>31.907261873231928</v>
      </c>
      <c r="E19" s="200">
        <v>51.504099350450041</v>
      </c>
      <c r="F19" s="200">
        <v>70.353338406149518</v>
      </c>
      <c r="G19" s="200">
        <v>88.454979040330443</v>
      </c>
      <c r="H19" s="200">
        <v>105.80902125299281</v>
      </c>
      <c r="I19" s="200">
        <v>122.41546504413658</v>
      </c>
      <c r="J19" s="200">
        <v>138.27431041376187</v>
      </c>
      <c r="K19" s="201">
        <v>153.38555736186851</v>
      </c>
    </row>
    <row r="20" spans="1:17" x14ac:dyDescent="0.25">
      <c r="A20" s="261"/>
    </row>
    <row r="21" spans="1:17" ht="15.75" thickBot="1" x14ac:dyDescent="0.3">
      <c r="A21" s="261"/>
      <c r="B21" s="374" t="s">
        <v>31</v>
      </c>
      <c r="C21" s="374"/>
      <c r="D21" s="375" t="s">
        <v>32</v>
      </c>
      <c r="E21" s="375"/>
      <c r="F21" s="180" t="s">
        <v>103</v>
      </c>
    </row>
    <row r="22" spans="1:17" ht="15.75" thickBot="1" x14ac:dyDescent="0.3">
      <c r="A22" s="261"/>
      <c r="B22" s="95" t="s">
        <v>28</v>
      </c>
      <c r="C22" s="104">
        <v>0</v>
      </c>
      <c r="D22" s="105">
        <v>4000</v>
      </c>
      <c r="E22" s="105">
        <v>4500</v>
      </c>
      <c r="F22" s="105">
        <v>5000</v>
      </c>
      <c r="G22" s="105">
        <v>5500</v>
      </c>
      <c r="H22" s="105">
        <v>6000</v>
      </c>
      <c r="I22" s="105">
        <v>6500</v>
      </c>
      <c r="J22" s="105">
        <v>7000</v>
      </c>
      <c r="K22" s="106">
        <v>7500</v>
      </c>
    </row>
    <row r="23" spans="1:17" x14ac:dyDescent="0.25">
      <c r="A23" s="261"/>
      <c r="B23" s="96">
        <v>0</v>
      </c>
      <c r="C23" s="185">
        <v>0</v>
      </c>
      <c r="D23" s="186">
        <v>10.310600284353756</v>
      </c>
      <c r="E23" s="186">
        <v>9.959902688549807</v>
      </c>
      <c r="F23" s="186">
        <v>9.4753821117628085</v>
      </c>
      <c r="G23" s="186">
        <v>8.8570385539927567</v>
      </c>
      <c r="H23" s="186">
        <v>8.1048720152396871</v>
      </c>
      <c r="I23" s="186">
        <v>7.2188824955035686</v>
      </c>
      <c r="J23" s="186">
        <v>6.1990699947843959</v>
      </c>
      <c r="K23" s="187">
        <v>5.045434513082208</v>
      </c>
    </row>
    <row r="24" spans="1:17" x14ac:dyDescent="0.25">
      <c r="A24" s="261"/>
      <c r="B24" s="113">
        <v>0.5</v>
      </c>
      <c r="C24" s="188">
        <v>0</v>
      </c>
      <c r="D24" s="189">
        <v>34.205320142176895</v>
      </c>
      <c r="E24" s="189">
        <v>39.640931344274755</v>
      </c>
      <c r="F24" s="189">
        <v>49.187611055881433</v>
      </c>
      <c r="G24" s="189">
        <v>61.428579276996373</v>
      </c>
      <c r="H24" s="189">
        <v>63.752496007619875</v>
      </c>
      <c r="I24" s="189">
        <v>67.759461247751645</v>
      </c>
      <c r="J24" s="189">
        <v>69.849474997392349</v>
      </c>
      <c r="K24" s="190">
        <v>71.172737256540969</v>
      </c>
    </row>
    <row r="25" spans="1:17" ht="15.75" thickBot="1" x14ac:dyDescent="0.3">
      <c r="A25" s="261"/>
      <c r="B25" s="97">
        <v>1</v>
      </c>
      <c r="C25" s="191">
        <v>0</v>
      </c>
      <c r="D25" s="192">
        <v>58.100040000000007</v>
      </c>
      <c r="E25" s="192">
        <v>69.321960000000004</v>
      </c>
      <c r="F25" s="192">
        <v>88.899840000000012</v>
      </c>
      <c r="G25" s="192">
        <v>114.00012</v>
      </c>
      <c r="H25" s="192">
        <v>119.40012</v>
      </c>
      <c r="I25" s="192">
        <v>128.30004</v>
      </c>
      <c r="J25" s="192">
        <v>133.49987999999999</v>
      </c>
      <c r="K25" s="193">
        <v>137.30004</v>
      </c>
    </row>
    <row r="26" spans="1:17" x14ac:dyDescent="0.25">
      <c r="A26" s="261"/>
      <c r="B26" s="38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</row>
    <row r="27" spans="1:17" ht="15.75" thickBot="1" x14ac:dyDescent="0.3">
      <c r="A27" s="447" t="s">
        <v>174</v>
      </c>
      <c r="B27" s="374" t="s">
        <v>173</v>
      </c>
      <c r="C27" s="374"/>
      <c r="D27" s="375" t="s">
        <v>32</v>
      </c>
      <c r="E27" s="375"/>
      <c r="K27" s="73"/>
      <c r="L27" s="73"/>
      <c r="M27" s="73"/>
      <c r="N27" s="73"/>
      <c r="O27" s="73"/>
      <c r="P27" s="73"/>
    </row>
    <row r="28" spans="1:17" ht="15.75" thickBot="1" x14ac:dyDescent="0.3">
      <c r="A28" s="447"/>
      <c r="B28" s="95" t="s">
        <v>28</v>
      </c>
      <c r="C28" s="104">
        <v>0</v>
      </c>
      <c r="D28" s="105">
        <v>4000</v>
      </c>
      <c r="E28" s="105">
        <v>4500</v>
      </c>
      <c r="F28" s="105">
        <v>5000</v>
      </c>
      <c r="G28" s="105">
        <v>5500</v>
      </c>
      <c r="H28" s="105">
        <v>6000</v>
      </c>
      <c r="I28" s="105">
        <v>6500</v>
      </c>
      <c r="J28" s="105">
        <v>7000</v>
      </c>
      <c r="K28" s="106">
        <v>7500</v>
      </c>
      <c r="L28" s="73"/>
      <c r="M28" s="73"/>
      <c r="N28" s="73"/>
      <c r="O28" s="73"/>
      <c r="P28" s="73"/>
      <c r="Q28" s="73"/>
    </row>
    <row r="29" spans="1:17" x14ac:dyDescent="0.25">
      <c r="A29" s="447"/>
      <c r="B29" s="96">
        <v>0</v>
      </c>
      <c r="C29" s="185">
        <f>0.95*C17</f>
        <v>0</v>
      </c>
      <c r="D29" s="186">
        <f t="shared" ref="D29:K29" si="0">0.95*D17</f>
        <v>9.7950702701360672</v>
      </c>
      <c r="E29" s="186">
        <f t="shared" si="0"/>
        <v>9.4619075541223161</v>
      </c>
      <c r="F29" s="186">
        <f t="shared" si="0"/>
        <v>9.0016130061746669</v>
      </c>
      <c r="G29" s="186">
        <f t="shared" si="0"/>
        <v>8.4141866262931178</v>
      </c>
      <c r="H29" s="186">
        <f t="shared" si="0"/>
        <v>7.6996284144777025</v>
      </c>
      <c r="I29" s="186">
        <f t="shared" si="0"/>
        <v>6.8579383707283901</v>
      </c>
      <c r="J29" s="186">
        <f t="shared" si="0"/>
        <v>5.889116495045176</v>
      </c>
      <c r="K29" s="187">
        <f t="shared" si="0"/>
        <v>4.7931627874280975</v>
      </c>
    </row>
    <row r="30" spans="1:17" ht="15" customHeight="1" x14ac:dyDescent="0.25">
      <c r="A30" s="447"/>
      <c r="B30" s="113">
        <v>0.5</v>
      </c>
      <c r="C30" s="188">
        <f t="shared" ref="C30:K30" si="1">0.95*C18</f>
        <v>0</v>
      </c>
      <c r="D30" s="189">
        <f t="shared" si="1"/>
        <v>20.053484524853214</v>
      </c>
      <c r="E30" s="189">
        <f t="shared" si="1"/>
        <v>29.195400968524858</v>
      </c>
      <c r="F30" s="189">
        <f t="shared" si="1"/>
        <v>37.918642246008389</v>
      </c>
      <c r="G30" s="189">
        <f t="shared" si="1"/>
        <v>46.223208357303335</v>
      </c>
      <c r="H30" s="189">
        <f>0.95*H18</f>
        <v>54.109099302410471</v>
      </c>
      <c r="I30" s="189">
        <f t="shared" si="1"/>
        <v>61.576315081329106</v>
      </c>
      <c r="J30" s="189">
        <f t="shared" si="1"/>
        <v>68.624855694059619</v>
      </c>
      <c r="K30" s="190">
        <f t="shared" si="1"/>
        <v>75.254721140601632</v>
      </c>
    </row>
    <row r="31" spans="1:17" ht="15" customHeight="1" thickBot="1" x14ac:dyDescent="0.3">
      <c r="A31" s="447"/>
      <c r="B31" s="97">
        <v>1</v>
      </c>
      <c r="C31" s="191">
        <f t="shared" ref="C31:K31" si="2">0.95*C19</f>
        <v>0</v>
      </c>
      <c r="D31" s="192">
        <f t="shared" si="2"/>
        <v>30.311898779570331</v>
      </c>
      <c r="E31" s="192">
        <f t="shared" si="2"/>
        <v>48.928894382927538</v>
      </c>
      <c r="F31" s="192">
        <f t="shared" si="2"/>
        <v>66.835671485842042</v>
      </c>
      <c r="G31" s="192">
        <f t="shared" si="2"/>
        <v>84.032230088313923</v>
      </c>
      <c r="H31" s="192">
        <f t="shared" si="2"/>
        <v>100.51857019034315</v>
      </c>
      <c r="I31" s="192">
        <f t="shared" si="2"/>
        <v>116.29469179192975</v>
      </c>
      <c r="J31" s="192">
        <f t="shared" si="2"/>
        <v>131.36059489307377</v>
      </c>
      <c r="K31" s="193">
        <f t="shared" si="2"/>
        <v>145.71627949377506</v>
      </c>
    </row>
    <row r="40" spans="2:11" x14ac:dyDescent="0.25">
      <c r="B40" s="38"/>
      <c r="C40" s="73"/>
      <c r="H40" s="216" t="s">
        <v>111</v>
      </c>
      <c r="I40" s="73"/>
      <c r="J40" s="73"/>
      <c r="K40" s="73"/>
    </row>
    <row r="41" spans="2:11" x14ac:dyDescent="0.25">
      <c r="H41" s="114" t="s">
        <v>56</v>
      </c>
      <c r="I41" s="180" t="s">
        <v>103</v>
      </c>
      <c r="J41" s="180" t="s">
        <v>103</v>
      </c>
    </row>
    <row r="42" spans="2:11" ht="60" x14ac:dyDescent="0.25">
      <c r="B42" s="107" t="s">
        <v>34</v>
      </c>
      <c r="C42" s="107" t="s">
        <v>58</v>
      </c>
      <c r="D42" s="107" t="s">
        <v>115</v>
      </c>
      <c r="E42" s="107" t="s">
        <v>116</v>
      </c>
      <c r="F42" s="107" t="s">
        <v>117</v>
      </c>
      <c r="H42" s="107" t="s">
        <v>55</v>
      </c>
      <c r="I42" s="107" t="s">
        <v>61</v>
      </c>
      <c r="J42" s="107" t="s">
        <v>50</v>
      </c>
      <c r="K42" s="107" t="s">
        <v>49</v>
      </c>
    </row>
    <row r="43" spans="2:11" ht="60" x14ac:dyDescent="0.25">
      <c r="B43" s="334" t="s">
        <v>33</v>
      </c>
      <c r="C43" s="335"/>
      <c r="D43" s="335"/>
      <c r="E43" s="335"/>
      <c r="F43" s="336"/>
      <c r="G43" s="258" t="s">
        <v>149</v>
      </c>
      <c r="H43" s="217"/>
      <c r="I43" s="217"/>
      <c r="J43" s="217"/>
      <c r="K43" s="218"/>
    </row>
    <row r="44" spans="2:11" x14ac:dyDescent="0.25">
      <c r="B44" s="108" t="s">
        <v>35</v>
      </c>
      <c r="C44" s="120">
        <v>1.4886574074074075E-3</v>
      </c>
      <c r="D44" s="124">
        <f>FuelConsumption_VAL21T05!D3*0.75</f>
        <v>2.0100000000000002</v>
      </c>
      <c r="E44" s="124">
        <f>FuelConsumption_VAL21T05!H3*0.75</f>
        <v>1.6740000000000002</v>
      </c>
      <c r="F44" s="124">
        <f>FuelConsumption_VAL21T05!I3*0.75</f>
        <v>1.5840000000000001</v>
      </c>
      <c r="G44" s="225">
        <f>(F44-E44)/E44</f>
        <v>-5.3763440860215096E-2</v>
      </c>
      <c r="H44" s="108">
        <v>2.9039999999999999</v>
      </c>
      <c r="I44" s="108">
        <v>3.4249999999999998</v>
      </c>
      <c r="J44" s="108">
        <v>3.657</v>
      </c>
      <c r="K44" s="108">
        <v>3.2149999999999999</v>
      </c>
    </row>
    <row r="45" spans="2:11" x14ac:dyDescent="0.25">
      <c r="B45" s="108" t="s">
        <v>36</v>
      </c>
      <c r="C45" s="120">
        <v>9.8483796296296297E-4</v>
      </c>
      <c r="D45" s="124">
        <f>FuelConsumption_VAL21T05!D4*0.75</f>
        <v>1.98</v>
      </c>
      <c r="E45" s="124">
        <f>FuelConsumption_VAL21T05!H4*0.75</f>
        <v>1.6927500000000002</v>
      </c>
      <c r="F45" s="124">
        <f>FuelConsumption_VAL21T05!I4*0.75</f>
        <v>1.59975</v>
      </c>
      <c r="G45" s="225">
        <f t="shared" ref="G45:G56" si="3">(F45-E45)/E45</f>
        <v>-5.4940186087727182E-2</v>
      </c>
      <c r="H45" s="108">
        <v>2.5139999999999998</v>
      </c>
      <c r="I45" s="108">
        <v>2.762</v>
      </c>
      <c r="J45" s="108">
        <v>3.008</v>
      </c>
      <c r="K45" s="108">
        <v>2.6190000000000002</v>
      </c>
    </row>
    <row r="46" spans="2:11" x14ac:dyDescent="0.25">
      <c r="B46" s="108" t="s">
        <v>37</v>
      </c>
      <c r="C46" s="120">
        <v>9.9039351851851849E-4</v>
      </c>
      <c r="D46" s="124">
        <f>FuelConsumption_VAL21T05!D5*0.75</f>
        <v>2.0324999999999998</v>
      </c>
      <c r="E46" s="124">
        <f>FuelConsumption_VAL21T05!H5*0.75</f>
        <v>1.7309999999999999</v>
      </c>
      <c r="F46" s="124">
        <f>FuelConsumption_VAL21T05!I5*0.75</f>
        <v>1.6372499999999999</v>
      </c>
      <c r="G46" s="225">
        <f t="shared" si="3"/>
        <v>-5.415944540727903E-2</v>
      </c>
      <c r="H46" s="108">
        <v>2.798</v>
      </c>
      <c r="I46" s="108">
        <v>3.0550000000000002</v>
      </c>
      <c r="J46" s="108">
        <v>3.3069999999999999</v>
      </c>
      <c r="K46" s="108">
        <v>2.887</v>
      </c>
    </row>
    <row r="47" spans="2:11" ht="27.75" customHeight="1" x14ac:dyDescent="0.25">
      <c r="B47" s="108" t="s">
        <v>38</v>
      </c>
      <c r="C47" s="120">
        <v>9.8136574074074077E-4</v>
      </c>
      <c r="D47" s="124">
        <f>FuelConsumption_VAL21T05!D6*0.75</f>
        <v>2.04</v>
      </c>
      <c r="E47" s="124">
        <f>FuelConsumption_VAL21T05!H6*0.75</f>
        <v>1.74675</v>
      </c>
      <c r="F47" s="124">
        <f>FuelConsumption_VAL21T05!I6*0.75</f>
        <v>1.65225</v>
      </c>
      <c r="G47" s="225">
        <f t="shared" si="3"/>
        <v>-5.410047230571062E-2</v>
      </c>
      <c r="H47" s="108">
        <v>2.766</v>
      </c>
      <c r="I47" s="108">
        <v>3.0129999999999999</v>
      </c>
      <c r="J47" s="108">
        <v>3.26</v>
      </c>
      <c r="K47" s="108">
        <v>2.8460000000000001</v>
      </c>
    </row>
    <row r="48" spans="2:11" x14ac:dyDescent="0.25">
      <c r="B48" s="108" t="s">
        <v>39</v>
      </c>
      <c r="C48" s="120">
        <v>9.8182870370370373E-4</v>
      </c>
      <c r="D48" s="124">
        <f>FuelConsumption_VAL21T05!D7*0.75</f>
        <v>2.04</v>
      </c>
      <c r="E48" s="124">
        <f>FuelConsumption_VAL21T05!H7*0.75</f>
        <v>1.7422499999999999</v>
      </c>
      <c r="F48" s="124">
        <f>FuelConsumption_VAL21T05!I7*0.75</f>
        <v>1.64775</v>
      </c>
      <c r="G48" s="225">
        <f t="shared" si="3"/>
        <v>-5.4240206629358481E-2</v>
      </c>
      <c r="H48" s="108">
        <v>2.266</v>
      </c>
      <c r="I48" s="108">
        <v>2.4620000000000002</v>
      </c>
      <c r="J48" s="108">
        <v>2.673</v>
      </c>
      <c r="K48" s="108">
        <v>2.3290000000000002</v>
      </c>
    </row>
    <row r="49" spans="2:11" x14ac:dyDescent="0.25">
      <c r="B49" s="108" t="s">
        <v>40</v>
      </c>
      <c r="C49" s="120">
        <v>9.8263888888888901E-4</v>
      </c>
      <c r="D49" s="124">
        <f>FuelConsumption_VAL21T05!D8*0.75</f>
        <v>2.0474999999999999</v>
      </c>
      <c r="E49" s="124">
        <f>FuelConsumption_VAL21T05!H8*0.75</f>
        <v>1.7527500000000003</v>
      </c>
      <c r="F49" s="124">
        <f>FuelConsumption_VAL21T05!I8*0.75</f>
        <v>1.6582499999999998</v>
      </c>
      <c r="G49" s="225">
        <f t="shared" si="3"/>
        <v>-5.3915275994865473E-2</v>
      </c>
      <c r="H49" s="108">
        <v>3.085</v>
      </c>
      <c r="I49" s="108">
        <v>3.3740000000000001</v>
      </c>
      <c r="J49" s="108">
        <v>3.653</v>
      </c>
      <c r="K49" s="108">
        <v>3.1850000000000001</v>
      </c>
    </row>
    <row r="50" spans="2:11" x14ac:dyDescent="0.25">
      <c r="B50" s="108" t="s">
        <v>41</v>
      </c>
      <c r="C50" s="120">
        <v>9.8414351851851853E-4</v>
      </c>
      <c r="D50" s="124">
        <f>FuelConsumption_VAL21T05!D9*0.75</f>
        <v>2.0474999999999999</v>
      </c>
      <c r="E50" s="124">
        <f>FuelConsumption_VAL21T05!H9*0.75</f>
        <v>1.7557500000000001</v>
      </c>
      <c r="F50" s="124">
        <f>FuelConsumption_VAL21T05!I9*0.75</f>
        <v>1.6612499999999999</v>
      </c>
      <c r="G50" s="225">
        <f t="shared" si="3"/>
        <v>-5.3823152498932221E-2</v>
      </c>
      <c r="H50" s="108">
        <v>2.6549999999999998</v>
      </c>
      <c r="I50" s="108">
        <v>2.8940000000000001</v>
      </c>
      <c r="J50" s="108">
        <v>3.1280000000000001</v>
      </c>
      <c r="K50" s="108">
        <v>2.7349999999999999</v>
      </c>
    </row>
    <row r="51" spans="2:11" x14ac:dyDescent="0.25">
      <c r="B51" s="108" t="s">
        <v>42</v>
      </c>
      <c r="C51" s="120">
        <v>9.9247685185185181E-4</v>
      </c>
      <c r="D51" s="124">
        <f>FuelConsumption_VAL21T05!D10*0.75</f>
        <v>2.0324999999999998</v>
      </c>
      <c r="E51" s="124">
        <f>FuelConsumption_VAL21T05!H10*0.75</f>
        <v>1.7324999999999999</v>
      </c>
      <c r="F51" s="124">
        <f>FuelConsumption_VAL21T05!I10*0.75</f>
        <v>1.6395</v>
      </c>
      <c r="G51" s="225">
        <f t="shared" si="3"/>
        <v>-5.3679653679653667E-2</v>
      </c>
      <c r="H51" s="108">
        <v>2.9319999999999999</v>
      </c>
      <c r="I51" s="108">
        <v>3.2280000000000002</v>
      </c>
      <c r="J51" s="108">
        <v>3.4809999999999999</v>
      </c>
      <c r="K51" s="108">
        <v>3.0430000000000001</v>
      </c>
    </row>
    <row r="52" spans="2:11" x14ac:dyDescent="0.25">
      <c r="B52" s="108" t="s">
        <v>43</v>
      </c>
      <c r="C52" s="120">
        <v>9.8171296296296288E-4</v>
      </c>
      <c r="D52" s="124">
        <f>FuelConsumption_VAL21T05!D11*0.75</f>
        <v>2.0550000000000002</v>
      </c>
      <c r="E52" s="124">
        <f>FuelConsumption_VAL21T05!H11*0.75</f>
        <v>1.7415</v>
      </c>
      <c r="F52" s="124">
        <f>FuelConsumption_VAL21T05!I11*0.75</f>
        <v>1.6484999999999999</v>
      </c>
      <c r="G52" s="225">
        <f t="shared" si="3"/>
        <v>-5.3402239448751186E-2</v>
      </c>
      <c r="H52" s="108">
        <v>3.2050000000000001</v>
      </c>
      <c r="I52" s="108">
        <v>3.504</v>
      </c>
      <c r="J52" s="108">
        <v>3.7879999999999998</v>
      </c>
      <c r="K52" s="108">
        <v>3.3109999999999999</v>
      </c>
    </row>
    <row r="53" spans="2:11" x14ac:dyDescent="0.25">
      <c r="B53" s="108" t="s">
        <v>44</v>
      </c>
      <c r="C53" s="120">
        <v>9.8437500000000001E-4</v>
      </c>
      <c r="D53" s="124">
        <f>FuelConsumption_VAL21T05!D12*0.75</f>
        <v>2.04</v>
      </c>
      <c r="E53" s="124">
        <f>FuelConsumption_VAL21T05!H12*0.75</f>
        <v>1.7362500000000001</v>
      </c>
      <c r="F53" s="124">
        <f>FuelConsumption_VAL21T05!I12*0.75</f>
        <v>1.6425000000000001</v>
      </c>
      <c r="G53" s="225">
        <f t="shared" si="3"/>
        <v>-5.3995680345572353E-2</v>
      </c>
      <c r="H53" s="108">
        <v>1.7969999999999999</v>
      </c>
      <c r="I53" s="108">
        <v>1.96</v>
      </c>
      <c r="J53" s="108">
        <v>2.12</v>
      </c>
      <c r="K53" s="108">
        <v>1.853</v>
      </c>
    </row>
    <row r="54" spans="2:11" x14ac:dyDescent="0.25">
      <c r="B54" s="108" t="s">
        <v>45</v>
      </c>
      <c r="C54" s="120">
        <v>9.7696759259259264E-4</v>
      </c>
      <c r="D54" s="124">
        <f>FuelConsumption_VAL21T05!D13*0.75</f>
        <v>2.0324999999999998</v>
      </c>
      <c r="E54" s="124">
        <f>FuelConsumption_VAL21T05!H13*0.75</f>
        <v>1.7369999999999999</v>
      </c>
      <c r="F54" s="124">
        <f>FuelConsumption_VAL21T05!I13*0.75</f>
        <v>1.6432499999999999</v>
      </c>
      <c r="G54" s="225">
        <f t="shared" si="3"/>
        <v>-5.3972366148531958E-2</v>
      </c>
      <c r="H54" s="108">
        <v>2.6440000000000001</v>
      </c>
      <c r="I54" s="108">
        <v>2.895</v>
      </c>
      <c r="J54" s="108">
        <v>3.137</v>
      </c>
      <c r="K54" s="108">
        <v>2.738</v>
      </c>
    </row>
    <row r="55" spans="2:11" x14ac:dyDescent="0.25">
      <c r="B55" s="108" t="s">
        <v>46</v>
      </c>
      <c r="C55" s="120">
        <v>9.8333333333333324E-4</v>
      </c>
      <c r="D55" s="124">
        <f>FuelConsumption_VAL21T05!D14*0.75</f>
        <v>2.0550000000000002</v>
      </c>
      <c r="E55" s="124">
        <f>FuelConsumption_VAL21T05!H14*0.75</f>
        <v>1.7385000000000002</v>
      </c>
      <c r="F55" s="124">
        <f>FuelConsumption_VAL21T05!I14*0.75</f>
        <v>1.6455</v>
      </c>
      <c r="G55" s="225">
        <f t="shared" si="3"/>
        <v>-5.3494391716997519E-2</v>
      </c>
      <c r="H55" s="108">
        <v>3.68</v>
      </c>
      <c r="I55" s="108">
        <v>4.032</v>
      </c>
      <c r="J55" s="108">
        <v>4.3570000000000002</v>
      </c>
      <c r="K55" s="108">
        <v>3.81</v>
      </c>
    </row>
    <row r="56" spans="2:11" x14ac:dyDescent="0.25">
      <c r="B56" s="108" t="s">
        <v>47</v>
      </c>
      <c r="C56" s="120">
        <v>1.1618055555555555E-3</v>
      </c>
      <c r="D56" s="124">
        <f>FuelConsumption_VAL21T05!D15*0.75</f>
        <v>1.2000000000000002</v>
      </c>
      <c r="E56" s="124">
        <f>FuelConsumption_VAL21T05!H15*0.75</f>
        <v>0.95550000000000002</v>
      </c>
      <c r="F56" s="124">
        <f>FuelConsumption_VAL21T05!I15*0.75</f>
        <v>0.90675000000000006</v>
      </c>
      <c r="G56" s="225">
        <f t="shared" si="3"/>
        <v>-5.1020408163265266E-2</v>
      </c>
      <c r="H56" s="108">
        <v>1.0580000000000001</v>
      </c>
      <c r="I56" s="108">
        <v>1.427</v>
      </c>
      <c r="J56" s="108">
        <v>1.5069999999999999</v>
      </c>
      <c r="K56" s="108">
        <v>1.389</v>
      </c>
    </row>
    <row r="58" spans="2:11" ht="15.75" thickBot="1" x14ac:dyDescent="0.3"/>
    <row r="59" spans="2:11" ht="19.5" thickBot="1" x14ac:dyDescent="0.3">
      <c r="C59" s="102" t="s">
        <v>118</v>
      </c>
      <c r="D59" s="115">
        <f>AVERAGE(D45:D55)</f>
        <v>2.0365909090909087</v>
      </c>
      <c r="E59" s="220">
        <f>AVERAGE(E45:E55)</f>
        <v>1.7369999999999999</v>
      </c>
      <c r="F59" s="220">
        <f>AVERAGE(F45:F55)</f>
        <v>1.6432499999999999</v>
      </c>
      <c r="G59" s="112" t="s">
        <v>53</v>
      </c>
      <c r="H59" s="111" t="s">
        <v>51</v>
      </c>
      <c r="I59" s="109" t="s">
        <v>52</v>
      </c>
    </row>
    <row r="60" spans="2:11" ht="15.75" thickBot="1" x14ac:dyDescent="0.3">
      <c r="G60" s="219"/>
      <c r="H60" s="110">
        <f>2.31/0.75</f>
        <v>3.08</v>
      </c>
      <c r="I60" s="110">
        <f>2.05/0.75</f>
        <v>2.7333333333333329</v>
      </c>
    </row>
  </sheetData>
  <mergeCells count="9">
    <mergeCell ref="A27:A31"/>
    <mergeCell ref="B27:C27"/>
    <mergeCell ref="D27:E27"/>
    <mergeCell ref="B2:C2"/>
    <mergeCell ref="B15:C15"/>
    <mergeCell ref="B4:C4"/>
    <mergeCell ref="B9:C9"/>
    <mergeCell ref="B21:C21"/>
    <mergeCell ref="D21:E2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2E64-6F74-4FCA-8E57-2471AF19A1A0}">
  <dimension ref="A1:S53"/>
  <sheetViews>
    <sheetView showGridLines="0" topLeftCell="A10" zoomScale="70" zoomScaleNormal="70" workbookViewId="0">
      <selection activeCell="F3" sqref="F3:F15"/>
    </sheetView>
  </sheetViews>
  <sheetFormatPr defaultRowHeight="15" x14ac:dyDescent="0.25"/>
  <cols>
    <col min="1" max="1" width="9.140625" style="117"/>
    <col min="2" max="2" width="22.7109375" style="117" customWidth="1"/>
    <col min="3" max="3" width="32.140625" style="117" customWidth="1"/>
    <col min="4" max="4" width="17.28515625" style="117" customWidth="1"/>
    <col min="5" max="5" width="24.42578125" style="117" bestFit="1" customWidth="1"/>
    <col min="6" max="6" width="34.28515625" style="117" bestFit="1" customWidth="1"/>
    <col min="7" max="7" width="19.7109375" style="117" customWidth="1"/>
    <col min="8" max="8" width="22.5703125" style="117" customWidth="1"/>
    <col min="9" max="9" width="19.5703125" style="117" customWidth="1"/>
    <col min="10" max="10" width="16.7109375" style="117" bestFit="1" customWidth="1"/>
    <col min="11" max="11" width="18.42578125" style="117" customWidth="1"/>
    <col min="12" max="12" width="17.42578125" style="117" customWidth="1"/>
    <col min="13" max="13" width="19.28515625" style="117" customWidth="1"/>
    <col min="14" max="14" width="17.28515625" style="117" bestFit="1" customWidth="1"/>
    <col min="15" max="15" width="14.85546875" style="117" bestFit="1" customWidth="1"/>
    <col min="16" max="16" width="14" style="117" customWidth="1"/>
    <col min="17" max="17" width="11.140625" style="117" bestFit="1" customWidth="1"/>
    <col min="18" max="16384" width="9.140625" style="117"/>
  </cols>
  <sheetData>
    <row r="1" spans="1:16" ht="45" x14ac:dyDescent="0.25">
      <c r="A1" s="107" t="s">
        <v>57</v>
      </c>
      <c r="B1" s="107" t="s">
        <v>34</v>
      </c>
      <c r="C1" s="107" t="s">
        <v>58</v>
      </c>
      <c r="D1" s="107" t="s">
        <v>48</v>
      </c>
      <c r="E1" s="107" t="s">
        <v>59</v>
      </c>
      <c r="F1" s="107" t="s">
        <v>60</v>
      </c>
      <c r="G1" s="107" t="s">
        <v>61</v>
      </c>
      <c r="H1" s="107" t="s">
        <v>147</v>
      </c>
      <c r="I1" s="107" t="s">
        <v>148</v>
      </c>
      <c r="J1" s="107" t="s">
        <v>62</v>
      </c>
      <c r="K1" s="107" t="s">
        <v>63</v>
      </c>
      <c r="L1" s="107" t="s">
        <v>64</v>
      </c>
      <c r="M1" s="107" t="s">
        <v>65</v>
      </c>
      <c r="N1" s="116" t="s">
        <v>66</v>
      </c>
      <c r="O1" s="116" t="s">
        <v>67</v>
      </c>
      <c r="P1" s="116" t="s">
        <v>68</v>
      </c>
    </row>
    <row r="2" spans="1:16" ht="15" customHeight="1" x14ac:dyDescent="0.25">
      <c r="A2" s="118"/>
      <c r="B2" s="411" t="s">
        <v>33</v>
      </c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3"/>
      <c r="N2" s="118"/>
      <c r="O2" s="119"/>
      <c r="P2" s="119"/>
    </row>
    <row r="3" spans="1:16" x14ac:dyDescent="0.25">
      <c r="A3" s="108" t="s">
        <v>69</v>
      </c>
      <c r="B3" s="108" t="s">
        <v>35</v>
      </c>
      <c r="C3" s="120">
        <v>1.4886574074074075E-3</v>
      </c>
      <c r="D3" s="108">
        <v>2.68</v>
      </c>
      <c r="E3" s="108">
        <v>2.61</v>
      </c>
      <c r="F3" s="260">
        <v>2.9039999999999999</v>
      </c>
      <c r="G3" s="108">
        <v>3.4249999999999998</v>
      </c>
      <c r="H3" s="108">
        <v>2.2320000000000002</v>
      </c>
      <c r="I3" s="108">
        <v>2.1120000000000001</v>
      </c>
      <c r="J3" s="121">
        <f>D3/E3</f>
        <v>1.0268199233716475</v>
      </c>
      <c r="K3" s="108">
        <v>22.998000000000001</v>
      </c>
      <c r="L3" s="121">
        <f t="shared" ref="L3:L15" si="0">D3*$E$17</f>
        <v>2.0100000000000002</v>
      </c>
      <c r="M3" s="108">
        <v>24.117999999999999</v>
      </c>
      <c r="N3" s="122">
        <f>K3/M3</f>
        <v>0.9535616551952899</v>
      </c>
      <c r="O3" s="123">
        <f>L3*1000/(M3/3600*1000)</f>
        <v>300.0248776847169</v>
      </c>
      <c r="P3" s="123">
        <f>L3*1000/(K3/3600*1000)</f>
        <v>314.63605530915731</v>
      </c>
    </row>
    <row r="4" spans="1:16" x14ac:dyDescent="0.25">
      <c r="A4" s="108" t="s">
        <v>69</v>
      </c>
      <c r="B4" s="108" t="s">
        <v>36</v>
      </c>
      <c r="C4" s="120">
        <v>9.8483796296296297E-4</v>
      </c>
      <c r="D4" s="108">
        <v>2.64</v>
      </c>
      <c r="E4" s="108">
        <v>2.57</v>
      </c>
      <c r="F4" s="260">
        <v>2.5139999999999998</v>
      </c>
      <c r="G4" s="108">
        <v>2.762</v>
      </c>
      <c r="H4" s="108">
        <v>2.2570000000000001</v>
      </c>
      <c r="I4" s="108">
        <v>2.133</v>
      </c>
      <c r="J4" s="121">
        <f>D4/E4</f>
        <v>1.0272373540856032</v>
      </c>
      <c r="K4" s="108">
        <v>23.350999999999999</v>
      </c>
      <c r="L4" s="121">
        <f t="shared" si="0"/>
        <v>1.98</v>
      </c>
      <c r="M4" s="108">
        <v>24.19</v>
      </c>
      <c r="N4" s="122">
        <f t="shared" ref="N4:N15" si="1">K4/M4</f>
        <v>0.96531624638280267</v>
      </c>
      <c r="O4" s="123">
        <f t="shared" ref="O4:O15" si="2">L4*1000/(M4/3600*1000)</f>
        <v>294.66721785861927</v>
      </c>
      <c r="P4" s="123">
        <f t="shared" ref="P4:P15" si="3">L4*1000/(K4/3600*1000)</f>
        <v>305.25459295105134</v>
      </c>
    </row>
    <row r="5" spans="1:16" x14ac:dyDescent="0.25">
      <c r="A5" s="108" t="s">
        <v>69</v>
      </c>
      <c r="B5" s="108" t="s">
        <v>37</v>
      </c>
      <c r="C5" s="120">
        <v>9.9039351851851849E-4</v>
      </c>
      <c r="D5" s="108">
        <v>2.71</v>
      </c>
      <c r="E5" s="108">
        <v>2.64</v>
      </c>
      <c r="F5" s="260">
        <v>2.798</v>
      </c>
      <c r="G5" s="108">
        <v>3.0550000000000002</v>
      </c>
      <c r="H5" s="108">
        <v>2.3079999999999998</v>
      </c>
      <c r="I5" s="108">
        <v>2.1829999999999998</v>
      </c>
      <c r="J5" s="121">
        <f>D5/E5</f>
        <v>1.0265151515151514</v>
      </c>
      <c r="K5" s="124">
        <v>23.882999999999999</v>
      </c>
      <c r="L5" s="121">
        <f t="shared" si="0"/>
        <v>2.0324999999999998</v>
      </c>
      <c r="M5" s="124">
        <v>24.748999999999999</v>
      </c>
      <c r="N5" s="122">
        <f t="shared" si="1"/>
        <v>0.96500868721968569</v>
      </c>
      <c r="O5" s="123">
        <f t="shared" si="2"/>
        <v>295.64830902258672</v>
      </c>
      <c r="P5" s="123">
        <f t="shared" si="3"/>
        <v>306.36854666499181</v>
      </c>
    </row>
    <row r="6" spans="1:16" x14ac:dyDescent="0.25">
      <c r="A6" s="108" t="s">
        <v>69</v>
      </c>
      <c r="B6" s="108" t="s">
        <v>38</v>
      </c>
      <c r="C6" s="120">
        <v>9.8136574074074077E-4</v>
      </c>
      <c r="D6" s="108">
        <v>2.72</v>
      </c>
      <c r="E6" s="108">
        <v>2.65</v>
      </c>
      <c r="F6" s="260">
        <v>2.766</v>
      </c>
      <c r="G6" s="108">
        <v>3.0129999999999999</v>
      </c>
      <c r="H6" s="108">
        <v>2.3290000000000002</v>
      </c>
      <c r="I6" s="108">
        <v>2.2029999999999998</v>
      </c>
      <c r="J6" s="121">
        <f t="shared" ref="J6:J15" si="4">D6/E6</f>
        <v>1.0264150943396229</v>
      </c>
      <c r="K6" s="124">
        <v>24.096</v>
      </c>
      <c r="L6" s="121">
        <f t="shared" si="0"/>
        <v>2.04</v>
      </c>
      <c r="M6" s="124">
        <v>24.957999999999998</v>
      </c>
      <c r="N6" s="122">
        <f t="shared" si="1"/>
        <v>0.96546197611988149</v>
      </c>
      <c r="O6" s="123">
        <f t="shared" si="2"/>
        <v>294.25434730346984</v>
      </c>
      <c r="P6" s="123">
        <f t="shared" si="3"/>
        <v>304.78087649402391</v>
      </c>
    </row>
    <row r="7" spans="1:16" x14ac:dyDescent="0.25">
      <c r="A7" s="108" t="s">
        <v>69</v>
      </c>
      <c r="B7" s="108" t="s">
        <v>39</v>
      </c>
      <c r="C7" s="120">
        <v>9.8182870370370373E-4</v>
      </c>
      <c r="D7" s="108">
        <v>2.72</v>
      </c>
      <c r="E7" s="108">
        <v>2.65</v>
      </c>
      <c r="F7" s="260">
        <v>2.266</v>
      </c>
      <c r="G7" s="108">
        <v>2.4620000000000002</v>
      </c>
      <c r="H7" s="108">
        <v>2.323</v>
      </c>
      <c r="I7" s="108">
        <v>2.1970000000000001</v>
      </c>
      <c r="J7" s="121">
        <f t="shared" si="4"/>
        <v>1.0264150943396229</v>
      </c>
      <c r="K7" s="108">
        <v>24.119</v>
      </c>
      <c r="L7" s="121">
        <f t="shared" si="0"/>
        <v>2.04</v>
      </c>
      <c r="M7" s="108">
        <v>24.867000000000001</v>
      </c>
      <c r="N7" s="122">
        <f t="shared" si="1"/>
        <v>0.96991997426307952</v>
      </c>
      <c r="O7" s="123">
        <f t="shared" si="2"/>
        <v>295.33116178067314</v>
      </c>
      <c r="P7" s="123">
        <f t="shared" si="3"/>
        <v>304.49023591359509</v>
      </c>
    </row>
    <row r="8" spans="1:16" x14ac:dyDescent="0.25">
      <c r="A8" s="108" t="s">
        <v>69</v>
      </c>
      <c r="B8" s="108" t="s">
        <v>40</v>
      </c>
      <c r="C8" s="120">
        <v>9.8263888888888901E-4</v>
      </c>
      <c r="D8" s="108">
        <v>2.73</v>
      </c>
      <c r="E8" s="108">
        <v>2.66</v>
      </c>
      <c r="F8" s="260">
        <v>3.085</v>
      </c>
      <c r="G8" s="108">
        <v>3.3740000000000001</v>
      </c>
      <c r="H8" s="108">
        <v>2.3370000000000002</v>
      </c>
      <c r="I8" s="108">
        <v>2.2109999999999999</v>
      </c>
      <c r="J8" s="121">
        <f t="shared" si="4"/>
        <v>1.0263157894736841</v>
      </c>
      <c r="K8" s="108">
        <v>24.234999999999999</v>
      </c>
      <c r="L8" s="121">
        <f t="shared" si="0"/>
        <v>2.0474999999999999</v>
      </c>
      <c r="M8" s="108">
        <v>25.006</v>
      </c>
      <c r="N8" s="122">
        <f t="shared" si="1"/>
        <v>0.96916739982404221</v>
      </c>
      <c r="O8" s="123">
        <f t="shared" si="2"/>
        <v>294.76925537870903</v>
      </c>
      <c r="P8" s="123">
        <f t="shared" si="3"/>
        <v>304.14689498658964</v>
      </c>
    </row>
    <row r="9" spans="1:16" x14ac:dyDescent="0.25">
      <c r="A9" s="108" t="s">
        <v>69</v>
      </c>
      <c r="B9" s="108" t="s">
        <v>41</v>
      </c>
      <c r="C9" s="120">
        <v>9.8414351851851853E-4</v>
      </c>
      <c r="D9" s="108">
        <v>2.73</v>
      </c>
      <c r="E9" s="108">
        <v>2.66</v>
      </c>
      <c r="F9" s="260">
        <v>2.6549999999999998</v>
      </c>
      <c r="G9" s="108">
        <v>2.8940000000000001</v>
      </c>
      <c r="H9" s="108">
        <v>2.3410000000000002</v>
      </c>
      <c r="I9" s="108">
        <v>2.2149999999999999</v>
      </c>
      <c r="J9" s="121">
        <f t="shared" si="4"/>
        <v>1.0263157894736841</v>
      </c>
      <c r="K9" s="108">
        <v>24.283999999999999</v>
      </c>
      <c r="L9" s="121">
        <f t="shared" si="0"/>
        <v>2.0474999999999999</v>
      </c>
      <c r="M9" s="108">
        <v>25.151</v>
      </c>
      <c r="N9" s="122">
        <f t="shared" si="1"/>
        <v>0.96552820961393182</v>
      </c>
      <c r="O9" s="123">
        <f t="shared" si="2"/>
        <v>293.06985805733365</v>
      </c>
      <c r="P9" s="123">
        <f t="shared" si="3"/>
        <v>303.53319057815844</v>
      </c>
    </row>
    <row r="10" spans="1:16" x14ac:dyDescent="0.25">
      <c r="A10" s="108" t="s">
        <v>69</v>
      </c>
      <c r="B10" s="108" t="s">
        <v>42</v>
      </c>
      <c r="C10" s="120">
        <v>9.9247685185185181E-4</v>
      </c>
      <c r="D10" s="108">
        <v>2.71</v>
      </c>
      <c r="E10" s="108">
        <v>2.64</v>
      </c>
      <c r="F10" s="260">
        <v>2.9319999999999999</v>
      </c>
      <c r="G10" s="108">
        <v>3.2280000000000002</v>
      </c>
      <c r="H10" s="108">
        <v>2.31</v>
      </c>
      <c r="I10" s="108">
        <v>2.1859999999999999</v>
      </c>
      <c r="J10" s="121">
        <f t="shared" si="4"/>
        <v>1.0265151515151514</v>
      </c>
      <c r="K10" s="108">
        <v>24.044</v>
      </c>
      <c r="L10" s="121">
        <f t="shared" si="0"/>
        <v>2.0324999999999998</v>
      </c>
      <c r="M10" s="108">
        <v>24.763000000000002</v>
      </c>
      <c r="N10" s="122">
        <f t="shared" si="1"/>
        <v>0.97096474579008996</v>
      </c>
      <c r="O10" s="123">
        <f t="shared" si="2"/>
        <v>295.48116141016834</v>
      </c>
      <c r="P10" s="123">
        <f t="shared" si="3"/>
        <v>304.31708534353686</v>
      </c>
    </row>
    <row r="11" spans="1:16" x14ac:dyDescent="0.25">
      <c r="A11" s="108" t="s">
        <v>69</v>
      </c>
      <c r="B11" s="108" t="s">
        <v>43</v>
      </c>
      <c r="C11" s="120">
        <v>9.8171296296296288E-4</v>
      </c>
      <c r="D11" s="108">
        <v>2.74</v>
      </c>
      <c r="E11" s="108">
        <v>2.67</v>
      </c>
      <c r="F11" s="260">
        <v>3.2050000000000001</v>
      </c>
      <c r="G11" s="108">
        <v>3.504</v>
      </c>
      <c r="H11" s="108">
        <v>2.3220000000000001</v>
      </c>
      <c r="I11" s="108">
        <v>2.198</v>
      </c>
      <c r="J11" s="121">
        <f t="shared" si="4"/>
        <v>1.0262172284644195</v>
      </c>
      <c r="K11" s="108">
        <v>24.286999999999999</v>
      </c>
      <c r="L11" s="121">
        <f t="shared" si="0"/>
        <v>2.0550000000000002</v>
      </c>
      <c r="M11" s="108">
        <v>24.981000000000002</v>
      </c>
      <c r="N11" s="122">
        <f t="shared" si="1"/>
        <v>0.97221888635362863</v>
      </c>
      <c r="O11" s="123">
        <f t="shared" si="2"/>
        <v>296.14507025339259</v>
      </c>
      <c r="P11" s="123">
        <f t="shared" si="3"/>
        <v>304.60740313748096</v>
      </c>
    </row>
    <row r="12" spans="1:16" x14ac:dyDescent="0.25">
      <c r="A12" s="108" t="s">
        <v>69</v>
      </c>
      <c r="B12" s="108" t="s">
        <v>44</v>
      </c>
      <c r="C12" s="120">
        <v>9.8437500000000001E-4</v>
      </c>
      <c r="D12" s="108">
        <v>2.72</v>
      </c>
      <c r="E12" s="108">
        <v>2.65</v>
      </c>
      <c r="F12" s="260">
        <v>1.7969999999999999</v>
      </c>
      <c r="G12" s="108">
        <v>1.96</v>
      </c>
      <c r="H12" s="108">
        <v>2.3149999999999999</v>
      </c>
      <c r="I12" s="108">
        <v>2.19</v>
      </c>
      <c r="J12" s="121">
        <f t="shared" si="4"/>
        <v>1.0264150943396229</v>
      </c>
      <c r="K12" s="108">
        <v>24.204999999999998</v>
      </c>
      <c r="L12" s="121">
        <f t="shared" si="0"/>
        <v>2.04</v>
      </c>
      <c r="M12" s="108">
        <v>24.870999999999999</v>
      </c>
      <c r="N12" s="122">
        <f t="shared" si="1"/>
        <v>0.9732218246150135</v>
      </c>
      <c r="O12" s="123">
        <f t="shared" si="2"/>
        <v>295.28366370471633</v>
      </c>
      <c r="P12" s="123">
        <f t="shared" si="3"/>
        <v>303.40838669696348</v>
      </c>
    </row>
    <row r="13" spans="1:16" x14ac:dyDescent="0.25">
      <c r="A13" s="108" t="s">
        <v>69</v>
      </c>
      <c r="B13" s="108" t="s">
        <v>45</v>
      </c>
      <c r="C13" s="120">
        <v>9.7696759259259264E-4</v>
      </c>
      <c r="D13" s="108">
        <v>2.71</v>
      </c>
      <c r="E13" s="108">
        <v>2.65</v>
      </c>
      <c r="F13" s="260">
        <v>2.6440000000000001</v>
      </c>
      <c r="G13" s="108">
        <v>2.895</v>
      </c>
      <c r="H13" s="108">
        <v>2.3159999999999998</v>
      </c>
      <c r="I13" s="108">
        <v>2.1909999999999998</v>
      </c>
      <c r="J13" s="121">
        <f t="shared" si="4"/>
        <v>1.0226415094339623</v>
      </c>
      <c r="K13" s="108">
        <v>24.236999999999998</v>
      </c>
      <c r="L13" s="121">
        <f t="shared" si="0"/>
        <v>2.0324999999999998</v>
      </c>
      <c r="M13" s="108">
        <v>24.962</v>
      </c>
      <c r="N13" s="122">
        <f t="shared" si="1"/>
        <v>0.97095585289640252</v>
      </c>
      <c r="O13" s="123">
        <f t="shared" si="2"/>
        <v>293.12555083727267</v>
      </c>
      <c r="P13" s="123">
        <f t="shared" si="3"/>
        <v>301.89379873746748</v>
      </c>
    </row>
    <row r="14" spans="1:16" x14ac:dyDescent="0.25">
      <c r="A14" s="108" t="s">
        <v>69</v>
      </c>
      <c r="B14" s="108" t="s">
        <v>46</v>
      </c>
      <c r="C14" s="120">
        <v>9.8333333333333324E-4</v>
      </c>
      <c r="D14" s="108">
        <v>2.74</v>
      </c>
      <c r="E14" s="108">
        <v>2.68</v>
      </c>
      <c r="F14" s="260">
        <v>3.68</v>
      </c>
      <c r="G14" s="108">
        <v>4.032</v>
      </c>
      <c r="H14" s="108">
        <v>2.3180000000000001</v>
      </c>
      <c r="I14" s="108">
        <v>2.194</v>
      </c>
      <c r="J14" s="121">
        <f t="shared" si="4"/>
        <v>1.0223880597014925</v>
      </c>
      <c r="K14" s="108">
        <v>24.152999999999999</v>
      </c>
      <c r="L14" s="121">
        <f t="shared" si="0"/>
        <v>2.0550000000000002</v>
      </c>
      <c r="M14" s="108">
        <v>24.957999999999998</v>
      </c>
      <c r="N14" s="122">
        <f t="shared" si="1"/>
        <v>0.96774581296578255</v>
      </c>
      <c r="O14" s="123">
        <f t="shared" si="2"/>
        <v>296.417982210113</v>
      </c>
      <c r="P14" s="123">
        <f t="shared" si="3"/>
        <v>306.29735436591727</v>
      </c>
    </row>
    <row r="15" spans="1:16" x14ac:dyDescent="0.25">
      <c r="A15" s="108" t="s">
        <v>69</v>
      </c>
      <c r="B15" s="108" t="s">
        <v>47</v>
      </c>
      <c r="C15" s="120">
        <v>1.1618055555555555E-3</v>
      </c>
      <c r="D15" s="108">
        <v>1.6</v>
      </c>
      <c r="E15" s="108">
        <v>1.59</v>
      </c>
      <c r="F15" s="260">
        <v>1.0580000000000001</v>
      </c>
      <c r="G15" s="108">
        <v>1.427</v>
      </c>
      <c r="H15" s="108">
        <v>1.274</v>
      </c>
      <c r="I15" s="108">
        <v>1.2090000000000001</v>
      </c>
      <c r="J15" s="121">
        <f t="shared" si="4"/>
        <v>1.0062893081761006</v>
      </c>
      <c r="K15" s="108">
        <v>13.6114</v>
      </c>
      <c r="L15" s="121">
        <f t="shared" si="0"/>
        <v>1.2000000000000002</v>
      </c>
      <c r="M15" s="108">
        <v>14.052</v>
      </c>
      <c r="N15" s="122">
        <f t="shared" si="1"/>
        <v>0.96864503273555369</v>
      </c>
      <c r="O15" s="123">
        <f t="shared" si="2"/>
        <v>307.42954739538862</v>
      </c>
      <c r="P15" s="123">
        <f t="shared" si="3"/>
        <v>317.38101885184483</v>
      </c>
    </row>
    <row r="16" spans="1:16" ht="15.75" thickBot="1" x14ac:dyDescent="0.3"/>
    <row r="17" spans="2:19" ht="15.75" thickBot="1" x14ac:dyDescent="0.3">
      <c r="C17" s="414" t="s">
        <v>70</v>
      </c>
      <c r="D17" s="415"/>
      <c r="E17" s="125">
        <v>0.75</v>
      </c>
      <c r="N17" s="126" t="s">
        <v>71</v>
      </c>
      <c r="O17" s="127">
        <f>AVERAGE(O3:O15)</f>
        <v>296.28061560747381</v>
      </c>
      <c r="P17" s="128">
        <f>AVERAGE(P3:P15)</f>
        <v>306.23964923313684</v>
      </c>
    </row>
    <row r="19" spans="2:19" ht="15.75" thickBot="1" x14ac:dyDescent="0.3"/>
    <row r="20" spans="2:19" ht="41.25" customHeight="1" thickBot="1" x14ac:dyDescent="0.3">
      <c r="B20" s="129" t="s">
        <v>51</v>
      </c>
      <c r="C20" s="109" t="s">
        <v>52</v>
      </c>
    </row>
    <row r="21" spans="2:19" ht="15.75" customHeight="1" thickBot="1" x14ac:dyDescent="0.3">
      <c r="B21" s="110">
        <f>2.31/0.75</f>
        <v>3.08</v>
      </c>
      <c r="C21" s="110">
        <f>2.05/0.75</f>
        <v>2.7333333333333329</v>
      </c>
      <c r="D21" s="130">
        <f t="shared" ref="D21:P21" si="5">AVERAGE(D3:D15)</f>
        <v>2.6269230769230774</v>
      </c>
      <c r="E21" s="131">
        <f t="shared" si="5"/>
        <v>2.563076923076923</v>
      </c>
      <c r="F21" s="130">
        <f t="shared" si="5"/>
        <v>2.6387692307692308</v>
      </c>
      <c r="G21" s="131">
        <f>AVERAGE(G3:G15)</f>
        <v>2.9254615384615383</v>
      </c>
      <c r="H21" s="131">
        <f>AVERAGE(H3:H15)</f>
        <v>2.2293846153846157</v>
      </c>
      <c r="I21" s="131">
        <f>AVERAGE(I3:I15)</f>
        <v>2.1093846153846152</v>
      </c>
      <c r="J21" s="131">
        <f t="shared" si="5"/>
        <v>1.0243461960176741</v>
      </c>
      <c r="K21" s="132">
        <f t="shared" si="5"/>
        <v>23.192569230769234</v>
      </c>
      <c r="L21" s="131">
        <f t="shared" si="5"/>
        <v>1.9701923076923071</v>
      </c>
      <c r="M21" s="132">
        <f t="shared" si="5"/>
        <v>23.971230769230775</v>
      </c>
      <c r="N21" s="133">
        <f t="shared" si="5"/>
        <v>0.96751663876732164</v>
      </c>
      <c r="O21" s="134">
        <f t="shared" si="5"/>
        <v>296.28061560747381</v>
      </c>
      <c r="P21" s="134">
        <f t="shared" si="5"/>
        <v>306.23964923313684</v>
      </c>
      <c r="Q21" s="135" t="s">
        <v>53</v>
      </c>
    </row>
    <row r="22" spans="2:19" ht="15.75" thickBot="1" x14ac:dyDescent="0.3">
      <c r="D22" s="136">
        <f>SUM(D3:D15)</f>
        <v>34.150000000000006</v>
      </c>
      <c r="E22" s="137">
        <f>SUM(E3:E15)</f>
        <v>33.32</v>
      </c>
      <c r="F22" s="137"/>
      <c r="G22" s="137"/>
      <c r="H22" s="137"/>
      <c r="I22" s="137"/>
      <c r="J22" s="138"/>
      <c r="K22" s="137">
        <f>SUM(K3:K15)</f>
        <v>301.50340000000006</v>
      </c>
      <c r="L22" s="139">
        <f>SUM(L3:L15)</f>
        <v>25.612499999999994</v>
      </c>
      <c r="M22" s="137">
        <f>SUM(M3:M15)</f>
        <v>311.62600000000009</v>
      </c>
      <c r="N22" s="138"/>
      <c r="O22" s="138"/>
      <c r="P22" s="138"/>
      <c r="Q22" s="140" t="s">
        <v>72</v>
      </c>
    </row>
    <row r="23" spans="2:19" x14ac:dyDescent="0.25">
      <c r="D23" s="405">
        <f>D22*($E$31/$E$30)</f>
        <v>140.15210159118732</v>
      </c>
      <c r="E23" s="407">
        <f>E22*($E$31/$E$30)</f>
        <v>136.74576940024482</v>
      </c>
      <c r="F23" s="141"/>
      <c r="G23" s="141"/>
      <c r="H23" s="141"/>
      <c r="I23" s="141"/>
      <c r="J23" s="407"/>
      <c r="K23" s="407">
        <f>K22*($E$31/$E$30)</f>
        <v>1237.3743820465122</v>
      </c>
      <c r="L23" s="407">
        <f>L22*($E$31/$E$30)</f>
        <v>105.11407619339045</v>
      </c>
      <c r="M23" s="407">
        <f>M22*($E$31/$E$30)</f>
        <v>1278.9176811260716</v>
      </c>
      <c r="N23" s="387"/>
      <c r="O23" s="387"/>
      <c r="P23" s="387"/>
      <c r="Q23" s="401" t="s">
        <v>73</v>
      </c>
      <c r="R23" s="401"/>
      <c r="S23" s="402"/>
    </row>
    <row r="24" spans="2:19" ht="15.75" thickBot="1" x14ac:dyDescent="0.3">
      <c r="D24" s="406"/>
      <c r="E24" s="408"/>
      <c r="F24" s="142"/>
      <c r="G24" s="142"/>
      <c r="H24" s="142"/>
      <c r="I24" s="142"/>
      <c r="J24" s="408"/>
      <c r="K24" s="408"/>
      <c r="L24" s="408"/>
      <c r="M24" s="408"/>
      <c r="N24" s="388"/>
      <c r="O24" s="388"/>
      <c r="P24" s="388"/>
      <c r="Q24" s="403"/>
      <c r="R24" s="403"/>
      <c r="S24" s="404"/>
    </row>
    <row r="25" spans="2:19" ht="15" customHeight="1" x14ac:dyDescent="0.25">
      <c r="D25" s="405">
        <f>L25/$E$17</f>
        <v>113.42209230856919</v>
      </c>
      <c r="E25" s="407">
        <f>D25/($J$21)</f>
        <v>110.7263274364834</v>
      </c>
      <c r="F25" s="141"/>
      <c r="G25" s="141"/>
      <c r="H25" s="141"/>
      <c r="I25" s="141"/>
      <c r="J25" s="407"/>
      <c r="K25" s="409">
        <v>1000</v>
      </c>
      <c r="L25" s="407">
        <f>(K25*1000/3600)*$P$21/1000</f>
        <v>85.066569231426897</v>
      </c>
      <c r="M25" s="407">
        <f>K25/$N$21</f>
        <v>1033.5739561792593</v>
      </c>
      <c r="N25" s="387"/>
      <c r="O25" s="387"/>
      <c r="P25" s="387"/>
      <c r="Q25" s="389" t="s">
        <v>74</v>
      </c>
      <c r="R25" s="389"/>
      <c r="S25" s="390"/>
    </row>
    <row r="26" spans="2:19" ht="15.75" thickBot="1" x14ac:dyDescent="0.3">
      <c r="D26" s="406"/>
      <c r="E26" s="408"/>
      <c r="F26" s="142"/>
      <c r="G26" s="142"/>
      <c r="H26" s="142"/>
      <c r="I26" s="142"/>
      <c r="J26" s="408"/>
      <c r="K26" s="410"/>
      <c r="L26" s="408"/>
      <c r="M26" s="408"/>
      <c r="N26" s="388"/>
      <c r="O26" s="388"/>
      <c r="P26" s="388"/>
      <c r="Q26" s="391"/>
      <c r="R26" s="391"/>
      <c r="S26" s="392"/>
    </row>
    <row r="27" spans="2:19" x14ac:dyDescent="0.25">
      <c r="J27" s="143" t="s">
        <v>75</v>
      </c>
      <c r="K27" s="144">
        <f>E40*12.3</f>
        <v>999.99000000000024</v>
      </c>
    </row>
    <row r="29" spans="2:19" ht="15.75" thickBot="1" x14ac:dyDescent="0.3"/>
    <row r="30" spans="2:19" x14ac:dyDescent="0.25">
      <c r="C30" s="393" t="s">
        <v>76</v>
      </c>
      <c r="D30" s="394"/>
      <c r="E30" s="145">
        <f>4.085*10</f>
        <v>40.85</v>
      </c>
    </row>
    <row r="31" spans="2:19" ht="15.75" thickBot="1" x14ac:dyDescent="0.3">
      <c r="C31" s="395" t="s">
        <v>77</v>
      </c>
      <c r="D31" s="396"/>
      <c r="E31" s="146">
        <f>13.63*12.3</f>
        <v>167.64900000000003</v>
      </c>
    </row>
    <row r="34" spans="2:14" ht="45" x14ac:dyDescent="0.25">
      <c r="B34" s="397" t="s">
        <v>78</v>
      </c>
      <c r="C34" s="398"/>
      <c r="D34" s="147" t="s">
        <v>58</v>
      </c>
      <c r="E34" s="107" t="s">
        <v>63</v>
      </c>
      <c r="F34" s="148" t="s">
        <v>79</v>
      </c>
      <c r="G34" s="149" t="s">
        <v>80</v>
      </c>
      <c r="H34" s="149" t="s">
        <v>81</v>
      </c>
      <c r="I34" s="148" t="s">
        <v>82</v>
      </c>
      <c r="J34" s="150" t="s">
        <v>83</v>
      </c>
    </row>
    <row r="35" spans="2:14" x14ac:dyDescent="0.25">
      <c r="B35" s="399" t="s">
        <v>84</v>
      </c>
      <c r="C35" s="400"/>
      <c r="D35" s="151"/>
      <c r="E35" s="152"/>
      <c r="F35" s="153"/>
      <c r="G35" s="154"/>
      <c r="H35" s="154"/>
      <c r="I35" s="153"/>
      <c r="J35" s="155"/>
    </row>
    <row r="36" spans="2:14" x14ac:dyDescent="0.25">
      <c r="B36" s="381" t="s">
        <v>85</v>
      </c>
      <c r="C36" s="382"/>
      <c r="D36" s="156">
        <v>9.6250000000000014E-4</v>
      </c>
      <c r="E36" s="157">
        <f>12.7+12.3</f>
        <v>25</v>
      </c>
      <c r="F36" s="158">
        <f>((E36/$K$21)-1)</f>
        <v>7.7931459479395393E-2</v>
      </c>
      <c r="G36" s="159">
        <f>(E36*1000/3600)*$P$17/1000</f>
        <v>2.1266642307856727</v>
      </c>
      <c r="H36" s="159">
        <f>G36/$E$17</f>
        <v>2.8355523077142304</v>
      </c>
      <c r="I36" s="158">
        <f>(G36/$L$21)-1</f>
        <v>7.9419619334846425E-2</v>
      </c>
      <c r="J36" s="160"/>
    </row>
    <row r="37" spans="2:14" x14ac:dyDescent="0.25">
      <c r="B37" s="381" t="s">
        <v>86</v>
      </c>
      <c r="C37" s="382"/>
      <c r="D37" s="156">
        <v>9.6423611111111113E-4</v>
      </c>
      <c r="E37" s="157">
        <f>12.9+12.4</f>
        <v>25.3</v>
      </c>
      <c r="F37" s="158">
        <f>((E37/$K$21)-1)</f>
        <v>9.086663699314812E-2</v>
      </c>
      <c r="G37" s="159">
        <f>(E37*1000/3600)*$P$17/1000</f>
        <v>2.1521842015551007</v>
      </c>
      <c r="H37" s="159">
        <f>G37/$E$17</f>
        <v>2.8695789354068011</v>
      </c>
      <c r="I37" s="158">
        <f>(G37/$L$21)-1</f>
        <v>9.2372654766864404E-2</v>
      </c>
      <c r="J37" s="160"/>
    </row>
    <row r="38" spans="2:14" x14ac:dyDescent="0.25">
      <c r="B38" s="381" t="s">
        <v>87</v>
      </c>
      <c r="C38" s="382"/>
      <c r="D38" s="156">
        <v>9.5162037037037047E-4</v>
      </c>
      <c r="E38" s="157">
        <f>12+11.7</f>
        <v>23.7</v>
      </c>
      <c r="F38" s="158" t="s">
        <v>88</v>
      </c>
      <c r="G38" s="159" t="s">
        <v>89</v>
      </c>
      <c r="H38" s="159" t="s">
        <v>89</v>
      </c>
      <c r="I38" s="158" t="s">
        <v>88</v>
      </c>
      <c r="J38" s="160"/>
    </row>
    <row r="39" spans="2:14" x14ac:dyDescent="0.25">
      <c r="B39" s="385" t="s">
        <v>90</v>
      </c>
      <c r="C39" s="386"/>
      <c r="D39" s="156"/>
      <c r="E39" s="157"/>
      <c r="F39" s="158"/>
      <c r="G39" s="159"/>
      <c r="H39" s="159"/>
      <c r="I39" s="158"/>
      <c r="J39" s="160"/>
    </row>
    <row r="40" spans="2:14" x14ac:dyDescent="0.25">
      <c r="B40" s="381" t="s">
        <v>91</v>
      </c>
      <c r="C40" s="382"/>
      <c r="D40" s="156">
        <v>2.386111111111111E-3</v>
      </c>
      <c r="E40" s="157">
        <f>40.7+40.6</f>
        <v>81.300000000000011</v>
      </c>
      <c r="F40" s="158" t="s">
        <v>88</v>
      </c>
      <c r="G40" s="159">
        <f>(E40*1000/3600)*$P$17/1000</f>
        <v>6.9159120785150083</v>
      </c>
      <c r="H40" s="159">
        <f>G40/$E$17</f>
        <v>9.2212161046866772</v>
      </c>
      <c r="I40" s="157" t="s">
        <v>88</v>
      </c>
      <c r="J40" s="161">
        <f>12.3*E40</f>
        <v>999.99000000000024</v>
      </c>
    </row>
    <row r="41" spans="2:14" x14ac:dyDescent="0.25">
      <c r="B41" s="381" t="s">
        <v>92</v>
      </c>
      <c r="C41" s="382"/>
      <c r="D41" s="156" t="s">
        <v>93</v>
      </c>
      <c r="E41" s="157">
        <f>41.2+41</f>
        <v>82.2</v>
      </c>
      <c r="F41" s="158" t="s">
        <v>88</v>
      </c>
      <c r="G41" s="159">
        <f>(E41*1000/3600)*$P$17/1000</f>
        <v>6.9924719908232911</v>
      </c>
      <c r="H41" s="159">
        <f>G41/$E$17</f>
        <v>9.3232959877643875</v>
      </c>
      <c r="I41" s="157" t="s">
        <v>88</v>
      </c>
      <c r="J41" s="161">
        <f>12.3*E41</f>
        <v>1011.0600000000001</v>
      </c>
    </row>
    <row r="42" spans="2:14" x14ac:dyDescent="0.25">
      <c r="B42" s="379" t="s">
        <v>94</v>
      </c>
      <c r="C42" s="380"/>
      <c r="D42" s="162">
        <v>2.370486111111111E-3</v>
      </c>
      <c r="E42" s="163">
        <f>40.7+40.4</f>
        <v>81.099999999999994</v>
      </c>
      <c r="F42" s="164" t="s">
        <v>88</v>
      </c>
      <c r="G42" s="165" t="s">
        <v>89</v>
      </c>
      <c r="H42" s="165" t="s">
        <v>89</v>
      </c>
      <c r="I42" s="163" t="s">
        <v>88</v>
      </c>
      <c r="J42" s="161">
        <f>12.3*E42</f>
        <v>997.53</v>
      </c>
    </row>
    <row r="43" spans="2:14" x14ac:dyDescent="0.25">
      <c r="B43" s="379" t="s">
        <v>95</v>
      </c>
      <c r="C43" s="380"/>
      <c r="D43" s="162">
        <v>2.3820601851851854E-3</v>
      </c>
      <c r="E43" s="163">
        <f>41.1+40.9</f>
        <v>82</v>
      </c>
      <c r="F43" s="164" t="s">
        <v>88</v>
      </c>
      <c r="G43" s="165" t="s">
        <v>89</v>
      </c>
      <c r="H43" s="165" t="s">
        <v>89</v>
      </c>
      <c r="I43" s="163" t="s">
        <v>88</v>
      </c>
      <c r="J43" s="161">
        <f>12.3*E43</f>
        <v>1008.6</v>
      </c>
    </row>
    <row r="44" spans="2:14" x14ac:dyDescent="0.25">
      <c r="B44" s="166"/>
      <c r="C44" s="167"/>
      <c r="D44" s="160"/>
      <c r="E44" s="168" t="s">
        <v>96</v>
      </c>
      <c r="F44" s="168"/>
      <c r="G44" s="169"/>
      <c r="H44" s="160"/>
      <c r="I44" s="160"/>
      <c r="J44" s="161"/>
    </row>
    <row r="45" spans="2:14" x14ac:dyDescent="0.25">
      <c r="B45" s="381" t="s">
        <v>97</v>
      </c>
      <c r="C45" s="382"/>
      <c r="D45" s="170">
        <v>2.3425925925925923E-3</v>
      </c>
      <c r="E45" s="157">
        <f>38.7+38.5</f>
        <v>77.2</v>
      </c>
      <c r="F45" s="157" t="s">
        <v>88</v>
      </c>
      <c r="G45" s="159" t="s">
        <v>89</v>
      </c>
      <c r="H45" s="159" t="s">
        <v>89</v>
      </c>
      <c r="I45" s="157" t="s">
        <v>88</v>
      </c>
      <c r="J45" s="161">
        <f>12.3*E45</f>
        <v>949.56000000000006</v>
      </c>
    </row>
    <row r="46" spans="2:14" x14ac:dyDescent="0.25">
      <c r="B46" s="383" t="s">
        <v>98</v>
      </c>
      <c r="C46" s="384"/>
      <c r="D46" s="171">
        <v>2.3252314814814815E-3</v>
      </c>
      <c r="E46" s="172">
        <f>38.9+38.8</f>
        <v>77.699999999999989</v>
      </c>
      <c r="F46" s="172" t="s">
        <v>88</v>
      </c>
      <c r="G46" s="172" t="s">
        <v>89</v>
      </c>
      <c r="H46" s="172" t="s">
        <v>89</v>
      </c>
      <c r="I46" s="172" t="s">
        <v>88</v>
      </c>
      <c r="J46" s="173">
        <f>12.3*E46</f>
        <v>955.70999999999992</v>
      </c>
    </row>
    <row r="47" spans="2:14" x14ac:dyDescent="0.25">
      <c r="B47" s="174"/>
      <c r="C47" s="174"/>
      <c r="D47" s="175"/>
      <c r="E47" s="174"/>
      <c r="F47" s="174"/>
      <c r="G47" s="174"/>
      <c r="H47" s="174"/>
      <c r="I47" s="174"/>
      <c r="J47" s="176"/>
    </row>
    <row r="48" spans="2:14" ht="49.5" customHeight="1" x14ac:dyDescent="0.25">
      <c r="E48" s="107" t="s">
        <v>63</v>
      </c>
      <c r="F48" s="107" t="s">
        <v>112</v>
      </c>
      <c r="G48" s="107" t="s">
        <v>99</v>
      </c>
      <c r="H48" s="150" t="s">
        <v>83</v>
      </c>
      <c r="I48" s="177" t="s">
        <v>100</v>
      </c>
      <c r="J48" s="221" t="s">
        <v>119</v>
      </c>
      <c r="K48" s="221" t="s">
        <v>120</v>
      </c>
      <c r="L48" s="174"/>
      <c r="M48" s="174"/>
      <c r="N48" s="174"/>
    </row>
    <row r="49" spans="2:11" x14ac:dyDescent="0.25">
      <c r="B49" s="379" t="s">
        <v>101</v>
      </c>
      <c r="C49" s="380"/>
      <c r="D49" s="175">
        <v>2.3859953703703704E-3</v>
      </c>
      <c r="E49" s="174">
        <f>40.7+40.6</f>
        <v>81.300000000000011</v>
      </c>
      <c r="F49" s="178">
        <f>(G49*$E$17)*1000/(E49*1000/3600)</f>
        <v>311.73431734317342</v>
      </c>
      <c r="G49" s="178">
        <f>7.04/0.75</f>
        <v>9.3866666666666667</v>
      </c>
      <c r="H49" s="174">
        <f>E49*12.3</f>
        <v>999.99000000000024</v>
      </c>
      <c r="I49" s="174">
        <f>G49*12.3</f>
        <v>115.456</v>
      </c>
      <c r="J49" s="222">
        <f>I49*0.75/2.375</f>
        <v>36.459789473684211</v>
      </c>
      <c r="K49" s="222">
        <f>I49*0.75/2.71</f>
        <v>31.952767527675277</v>
      </c>
    </row>
    <row r="50" spans="2:11" x14ac:dyDescent="0.25">
      <c r="B50" s="379" t="s">
        <v>102</v>
      </c>
      <c r="C50" s="380"/>
      <c r="D50" s="179">
        <v>0.14324074074074075</v>
      </c>
      <c r="E50" s="174">
        <f>40.7+40.6</f>
        <v>81.300000000000011</v>
      </c>
      <c r="F50" s="178">
        <f>(G50*$E$17)*1000/(E50*1000/3600)</f>
        <v>270.11070110701104</v>
      </c>
      <c r="G50" s="178">
        <f>6.1/0.75</f>
        <v>8.1333333333333329</v>
      </c>
      <c r="H50" s="174">
        <f>E50*12.3</f>
        <v>999.99000000000024</v>
      </c>
      <c r="I50" s="174">
        <f>G50*12.3</f>
        <v>100.04</v>
      </c>
      <c r="J50" s="222">
        <f>I50*0.75/2.375</f>
        <v>31.591578947368422</v>
      </c>
      <c r="K50" s="222">
        <f>I50*0.75/2.71</f>
        <v>27.686346863468636</v>
      </c>
    </row>
    <row r="52" spans="2:11" x14ac:dyDescent="0.25">
      <c r="I52" s="223" t="s">
        <v>121</v>
      </c>
      <c r="J52" s="117">
        <f>95.26/2.375</f>
        <v>40.109473684210528</v>
      </c>
      <c r="K52" s="117">
        <f>95.26/2.71</f>
        <v>35.15129151291513</v>
      </c>
    </row>
    <row r="53" spans="2:11" x14ac:dyDescent="0.25">
      <c r="I53" s="117" t="s">
        <v>122</v>
      </c>
    </row>
  </sheetData>
  <mergeCells count="38">
    <mergeCell ref="B2:M2"/>
    <mergeCell ref="C17:D17"/>
    <mergeCell ref="D23:D24"/>
    <mergeCell ref="E23:E24"/>
    <mergeCell ref="J23:J24"/>
    <mergeCell ref="K23:K24"/>
    <mergeCell ref="L23:L24"/>
    <mergeCell ref="M23:M24"/>
    <mergeCell ref="N23:N24"/>
    <mergeCell ref="O23:O24"/>
    <mergeCell ref="P23:P24"/>
    <mergeCell ref="Q23:S24"/>
    <mergeCell ref="D25:D26"/>
    <mergeCell ref="E25:E26"/>
    <mergeCell ref="J25:J26"/>
    <mergeCell ref="K25:K26"/>
    <mergeCell ref="L25:L26"/>
    <mergeCell ref="M25:M26"/>
    <mergeCell ref="B39:C39"/>
    <mergeCell ref="N25:N26"/>
    <mergeCell ref="O25:O26"/>
    <mergeCell ref="P25:P26"/>
    <mergeCell ref="Q25:S26"/>
    <mergeCell ref="C30:D30"/>
    <mergeCell ref="C31:D31"/>
    <mergeCell ref="B34:C34"/>
    <mergeCell ref="B35:C35"/>
    <mergeCell ref="B36:C36"/>
    <mergeCell ref="B37:C37"/>
    <mergeCell ref="B38:C38"/>
    <mergeCell ref="B49:C49"/>
    <mergeCell ref="B50:C50"/>
    <mergeCell ref="B40:C40"/>
    <mergeCell ref="B41:C41"/>
    <mergeCell ref="B42:C42"/>
    <mergeCell ref="B43:C43"/>
    <mergeCell ref="B45:C45"/>
    <mergeCell ref="B46:C4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CC9A-A2AB-4487-8BD6-DC8563643E70}">
  <dimension ref="A1:AT125"/>
  <sheetViews>
    <sheetView showGridLines="0" topLeftCell="H53" zoomScale="85" zoomScaleNormal="85" workbookViewId="0">
      <selection activeCell="S78" sqref="S78"/>
    </sheetView>
  </sheetViews>
  <sheetFormatPr defaultRowHeight="15" x14ac:dyDescent="0.25"/>
  <cols>
    <col min="2" max="2" width="13" customWidth="1"/>
    <col min="3" max="3" width="28" bestFit="1" customWidth="1"/>
    <col min="4" max="4" width="15.7109375" customWidth="1"/>
    <col min="5" max="5" width="16" customWidth="1"/>
    <col min="6" max="6" width="14.140625" customWidth="1"/>
    <col min="7" max="7" width="14.7109375" customWidth="1"/>
    <col min="8" max="8" width="13.140625" customWidth="1"/>
    <col min="9" max="9" width="16.85546875" bestFit="1" customWidth="1"/>
    <col min="10" max="11" width="11.7109375" bestFit="1" customWidth="1"/>
    <col min="12" max="14" width="9.5703125" bestFit="1" customWidth="1"/>
    <col min="15" max="15" width="13.7109375" customWidth="1"/>
    <col min="16" max="16" width="13" customWidth="1"/>
    <col min="17" max="19" width="9.5703125" bestFit="1" customWidth="1"/>
    <col min="20" max="20" width="9.5703125" customWidth="1"/>
    <col min="21" max="22" width="9.5703125" bestFit="1" customWidth="1"/>
    <col min="23" max="23" width="9.140625" style="23"/>
    <col min="25" max="25" width="13" customWidth="1"/>
    <col min="26" max="26" width="28" bestFit="1" customWidth="1"/>
    <col min="27" max="30" width="17.5703125" customWidth="1"/>
    <col min="31" max="31" width="16" customWidth="1"/>
    <col min="32" max="32" width="16.85546875" bestFit="1" customWidth="1"/>
    <col min="33" max="33" width="11.42578125" bestFit="1" customWidth="1"/>
    <col min="34" max="36" width="11.7109375" bestFit="1" customWidth="1"/>
    <col min="37" max="37" width="11.42578125" bestFit="1" customWidth="1"/>
    <col min="38" max="38" width="11.7109375" bestFit="1" customWidth="1"/>
    <col min="39" max="39" width="11.42578125" bestFit="1" customWidth="1"/>
    <col min="40" max="45" width="11.7109375" bestFit="1" customWidth="1"/>
  </cols>
  <sheetData>
    <row r="1" spans="1:46" ht="15" customHeight="1" x14ac:dyDescent="0.25">
      <c r="A1" s="428" t="s">
        <v>110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30"/>
      <c r="X1" s="434" t="s">
        <v>123</v>
      </c>
      <c r="Y1" s="435"/>
      <c r="Z1" s="435"/>
      <c r="AA1" s="435"/>
      <c r="AB1" s="435"/>
      <c r="AC1" s="435"/>
      <c r="AD1" s="435"/>
      <c r="AE1" s="435"/>
      <c r="AF1" s="435"/>
      <c r="AG1" s="435"/>
      <c r="AH1" s="435"/>
      <c r="AI1" s="435"/>
      <c r="AJ1" s="435"/>
      <c r="AK1" s="435"/>
      <c r="AL1" s="435"/>
      <c r="AM1" s="435"/>
      <c r="AN1" s="435"/>
      <c r="AO1" s="435"/>
      <c r="AP1" s="435"/>
      <c r="AQ1" s="435"/>
      <c r="AR1" s="435"/>
      <c r="AS1" s="435"/>
      <c r="AT1" s="436"/>
    </row>
    <row r="2" spans="1:46" ht="15.75" customHeight="1" thickBot="1" x14ac:dyDescent="0.3">
      <c r="A2" s="431"/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432"/>
      <c r="P2" s="432"/>
      <c r="Q2" s="432"/>
      <c r="R2" s="432"/>
      <c r="S2" s="432"/>
      <c r="T2" s="432"/>
      <c r="U2" s="432"/>
      <c r="V2" s="432"/>
      <c r="W2" s="433"/>
      <c r="X2" s="437"/>
      <c r="Y2" s="438"/>
      <c r="Z2" s="438"/>
      <c r="AA2" s="438"/>
      <c r="AB2" s="438"/>
      <c r="AC2" s="438"/>
      <c r="AD2" s="438"/>
      <c r="AE2" s="438"/>
      <c r="AF2" s="438"/>
      <c r="AG2" s="438"/>
      <c r="AH2" s="438"/>
      <c r="AI2" s="438"/>
      <c r="AJ2" s="438"/>
      <c r="AK2" s="438"/>
      <c r="AL2" s="438"/>
      <c r="AM2" s="438"/>
      <c r="AN2" s="438"/>
      <c r="AO2" s="438"/>
      <c r="AP2" s="438"/>
      <c r="AQ2" s="438"/>
      <c r="AR2" s="438"/>
      <c r="AS2" s="438"/>
      <c r="AT2" s="439"/>
    </row>
    <row r="3" spans="1:46" s="228" customFormat="1" ht="15.75" customHeight="1" x14ac:dyDescent="0.25">
      <c r="A3" s="226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7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</row>
    <row r="4" spans="1:46" s="228" customFormat="1" ht="15.75" customHeight="1" x14ac:dyDescent="0.25">
      <c r="A4" s="427" t="s">
        <v>130</v>
      </c>
      <c r="B4" s="427"/>
      <c r="C4" s="427"/>
      <c r="D4" s="427"/>
      <c r="E4" s="229" t="s">
        <v>131</v>
      </c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7"/>
      <c r="X4" s="424" t="s">
        <v>130</v>
      </c>
      <c r="Y4" s="442"/>
      <c r="Z4" s="442"/>
      <c r="AA4" s="442"/>
      <c r="AB4" s="229" t="s">
        <v>131</v>
      </c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</row>
    <row r="5" spans="1:46" x14ac:dyDescent="0.25">
      <c r="A5" s="426" t="s">
        <v>129</v>
      </c>
      <c r="B5" s="426"/>
      <c r="C5" s="426"/>
      <c r="D5" s="426"/>
      <c r="E5" s="420" t="s">
        <v>135</v>
      </c>
      <c r="F5" s="420"/>
      <c r="G5" s="420"/>
      <c r="H5" s="420"/>
      <c r="I5" s="420"/>
      <c r="J5" s="420"/>
      <c r="X5" s="416" t="s">
        <v>129</v>
      </c>
      <c r="Y5" s="426"/>
      <c r="Z5" s="426"/>
      <c r="AA5" s="426"/>
      <c r="AB5" s="420" t="s">
        <v>136</v>
      </c>
      <c r="AC5" s="420"/>
      <c r="AD5" s="420"/>
      <c r="AE5" s="420"/>
      <c r="AF5" s="420"/>
      <c r="AG5" s="420"/>
      <c r="AH5" s="420"/>
    </row>
    <row r="6" spans="1:46" x14ac:dyDescent="0.25">
      <c r="A6" s="440" t="s">
        <v>124</v>
      </c>
      <c r="B6" s="441"/>
      <c r="C6" s="337" t="s">
        <v>12</v>
      </c>
      <c r="D6" s="338"/>
      <c r="E6" s="338"/>
      <c r="F6" s="338"/>
      <c r="G6" s="338"/>
      <c r="H6" s="338"/>
      <c r="I6" s="32" t="s">
        <v>113</v>
      </c>
      <c r="J6" s="359" t="s">
        <v>114</v>
      </c>
      <c r="K6" s="359"/>
      <c r="L6" s="33"/>
      <c r="M6" s="33"/>
      <c r="N6" s="33"/>
      <c r="O6" s="33"/>
      <c r="P6" s="33"/>
      <c r="Q6" s="33"/>
      <c r="R6" s="33"/>
      <c r="S6" s="33"/>
      <c r="T6" s="33"/>
      <c r="U6" s="33"/>
      <c r="V6" s="34"/>
      <c r="X6" s="440" t="s">
        <v>124</v>
      </c>
      <c r="Y6" s="441"/>
      <c r="Z6" s="369" t="s">
        <v>138</v>
      </c>
      <c r="AA6" s="370"/>
      <c r="AB6" s="370"/>
      <c r="AC6" s="370"/>
      <c r="AD6" s="370"/>
      <c r="AE6" s="370"/>
      <c r="AF6" s="32" t="s">
        <v>113</v>
      </c>
      <c r="AG6" s="359" t="s">
        <v>114</v>
      </c>
      <c r="AH6" s="359"/>
      <c r="AI6" s="33"/>
      <c r="AJ6" s="34"/>
    </row>
    <row r="7" spans="1:46" x14ac:dyDescent="0.25">
      <c r="C7" s="35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6"/>
      <c r="Z7" s="35"/>
      <c r="AA7" s="13"/>
      <c r="AB7" s="13"/>
      <c r="AC7" s="13"/>
      <c r="AD7" s="13"/>
      <c r="AE7" s="13"/>
      <c r="AF7" s="13"/>
      <c r="AG7" s="13"/>
      <c r="AH7" s="13"/>
      <c r="AI7" s="13"/>
      <c r="AJ7" s="36"/>
    </row>
    <row r="8" spans="1:46" x14ac:dyDescent="0.25">
      <c r="C8" s="37" t="s">
        <v>1</v>
      </c>
      <c r="D8" s="38">
        <v>3000</v>
      </c>
      <c r="E8" s="38">
        <v>3250</v>
      </c>
      <c r="F8" s="38">
        <v>3500</v>
      </c>
      <c r="G8" s="38">
        <v>3750</v>
      </c>
      <c r="H8" s="27">
        <v>4000</v>
      </c>
      <c r="I8" s="27">
        <v>4250</v>
      </c>
      <c r="J8" s="27">
        <v>4500</v>
      </c>
      <c r="K8" s="27">
        <v>4750</v>
      </c>
      <c r="L8" s="27">
        <v>5000</v>
      </c>
      <c r="M8" s="27">
        <v>5250</v>
      </c>
      <c r="N8" s="27">
        <v>5500</v>
      </c>
      <c r="O8" s="27">
        <v>5750</v>
      </c>
      <c r="P8" s="27">
        <v>6000</v>
      </c>
      <c r="Q8" s="27">
        <v>6250</v>
      </c>
      <c r="R8" s="27">
        <v>6500</v>
      </c>
      <c r="S8" s="27">
        <v>6750</v>
      </c>
      <c r="T8" s="27">
        <v>7000</v>
      </c>
      <c r="U8" s="27">
        <v>7250</v>
      </c>
      <c r="V8" s="42">
        <v>7500</v>
      </c>
      <c r="Z8" s="37" t="s">
        <v>1</v>
      </c>
      <c r="AA8" s="38">
        <v>3000</v>
      </c>
      <c r="AB8" s="38">
        <v>3500</v>
      </c>
      <c r="AC8" s="64">
        <v>4000</v>
      </c>
      <c r="AD8" s="64">
        <v>4500</v>
      </c>
      <c r="AE8" s="64">
        <v>5000</v>
      </c>
      <c r="AF8" s="64">
        <v>5500</v>
      </c>
      <c r="AG8" s="64">
        <v>6000</v>
      </c>
      <c r="AH8" s="64">
        <v>6500</v>
      </c>
      <c r="AI8" s="64">
        <v>7000</v>
      </c>
      <c r="AJ8" s="65">
        <v>7500</v>
      </c>
    </row>
    <row r="9" spans="1:46" x14ac:dyDescent="0.25">
      <c r="C9" s="37" t="s">
        <v>4</v>
      </c>
      <c r="D9" s="230"/>
      <c r="E9" s="230"/>
      <c r="F9" s="230"/>
      <c r="G9" s="230"/>
      <c r="H9" s="73">
        <v>21.98</v>
      </c>
      <c r="I9" s="230"/>
      <c r="J9" s="73">
        <v>28.53</v>
      </c>
      <c r="K9" s="230"/>
      <c r="L9" s="73">
        <v>35.61</v>
      </c>
      <c r="M9" s="230"/>
      <c r="N9" s="73">
        <v>41.18</v>
      </c>
      <c r="O9" s="230"/>
      <c r="P9" s="73">
        <v>46.8</v>
      </c>
      <c r="Q9" s="230"/>
      <c r="R9" s="73">
        <v>50.863999999999997</v>
      </c>
      <c r="S9" s="230"/>
      <c r="T9" s="73">
        <v>54.09</v>
      </c>
      <c r="U9" s="230"/>
      <c r="V9" s="74">
        <v>57.92</v>
      </c>
      <c r="Z9" s="37" t="s">
        <v>4</v>
      </c>
      <c r="AA9" s="63">
        <v>14.51</v>
      </c>
      <c r="AB9" s="63">
        <v>17.77</v>
      </c>
      <c r="AC9" s="63">
        <v>22.13</v>
      </c>
      <c r="AD9" s="63">
        <v>28.52</v>
      </c>
      <c r="AE9" s="63">
        <v>35.67</v>
      </c>
      <c r="AF9" s="63">
        <v>41.212000000000003</v>
      </c>
      <c r="AG9" s="63">
        <v>46.73</v>
      </c>
      <c r="AH9" s="63">
        <v>50.98</v>
      </c>
      <c r="AI9" s="63">
        <v>54.097999999999999</v>
      </c>
      <c r="AJ9" s="66">
        <v>57.795000000000002</v>
      </c>
    </row>
    <row r="10" spans="1:46" x14ac:dyDescent="0.25">
      <c r="C10" s="37" t="s">
        <v>5</v>
      </c>
      <c r="D10" s="231"/>
      <c r="E10" s="231"/>
      <c r="F10" s="231"/>
      <c r="G10" s="231"/>
      <c r="H10" s="76">
        <f t="shared" ref="H10:V10" si="0">H9/3600</f>
        <v>6.1055555555555559E-3</v>
      </c>
      <c r="I10" s="231"/>
      <c r="J10" s="76">
        <f t="shared" si="0"/>
        <v>7.9249999999999998E-3</v>
      </c>
      <c r="K10" s="231"/>
      <c r="L10" s="76">
        <f t="shared" si="0"/>
        <v>9.8916666666666667E-3</v>
      </c>
      <c r="M10" s="231"/>
      <c r="N10" s="76">
        <f t="shared" si="0"/>
        <v>1.1438888888888889E-2</v>
      </c>
      <c r="O10" s="231"/>
      <c r="P10" s="76">
        <f t="shared" si="0"/>
        <v>1.2999999999999999E-2</v>
      </c>
      <c r="Q10" s="231"/>
      <c r="R10" s="76">
        <f t="shared" si="0"/>
        <v>1.4128888888888889E-2</v>
      </c>
      <c r="S10" s="231"/>
      <c r="T10" s="76">
        <f t="shared" si="0"/>
        <v>1.5025E-2</v>
      </c>
      <c r="U10" s="231"/>
      <c r="V10" s="80">
        <f t="shared" si="0"/>
        <v>1.6088888888888889E-2</v>
      </c>
      <c r="Z10" s="37" t="s">
        <v>5</v>
      </c>
      <c r="AA10" s="78">
        <f t="shared" ref="AA10" si="1">AA9/3600</f>
        <v>4.0305555555555555E-3</v>
      </c>
      <c r="AB10" s="78">
        <f>AB9/3600</f>
        <v>4.9361111111111107E-3</v>
      </c>
      <c r="AC10" s="78">
        <f t="shared" ref="AC10" si="2">AC9/3600</f>
        <v>6.1472222222222223E-3</v>
      </c>
      <c r="AD10" s="78">
        <f t="shared" ref="AD10:AJ10" si="3">AD9/3600</f>
        <v>7.9222222222222229E-3</v>
      </c>
      <c r="AE10" s="78">
        <f t="shared" si="3"/>
        <v>9.9083333333333332E-3</v>
      </c>
      <c r="AF10" s="78">
        <f t="shared" si="3"/>
        <v>1.1447777777777779E-2</v>
      </c>
      <c r="AG10" s="78">
        <f t="shared" si="3"/>
        <v>1.2980555555555554E-2</v>
      </c>
      <c r="AH10" s="78">
        <f t="shared" si="3"/>
        <v>1.416111111111111E-2</v>
      </c>
      <c r="AI10" s="78">
        <f t="shared" si="3"/>
        <v>1.5027222222222221E-2</v>
      </c>
      <c r="AJ10" s="79">
        <f t="shared" si="3"/>
        <v>1.6054166666666668E-2</v>
      </c>
    </row>
    <row r="11" spans="1:46" x14ac:dyDescent="0.25">
      <c r="C11" s="37" t="s">
        <v>18</v>
      </c>
      <c r="D11" s="230"/>
      <c r="E11" s="230"/>
      <c r="F11" s="230"/>
      <c r="G11" s="230"/>
      <c r="H11" s="73">
        <v>201.9</v>
      </c>
      <c r="I11" s="230"/>
      <c r="J11" s="73">
        <v>222.8</v>
      </c>
      <c r="K11" s="230"/>
      <c r="L11" s="73">
        <v>232.4</v>
      </c>
      <c r="M11" s="230"/>
      <c r="N11" s="73">
        <v>239.5</v>
      </c>
      <c r="O11" s="230"/>
      <c r="P11" s="73">
        <v>262.8</v>
      </c>
      <c r="Q11" s="230"/>
      <c r="R11" s="73">
        <v>265.5</v>
      </c>
      <c r="S11" s="230"/>
      <c r="T11" s="73">
        <v>256</v>
      </c>
      <c r="U11" s="230"/>
      <c r="V11" s="74">
        <v>246.7</v>
      </c>
      <c r="Z11" s="37" t="s">
        <v>18</v>
      </c>
      <c r="AA11" s="63">
        <v>170.6</v>
      </c>
      <c r="AB11" s="63">
        <v>186.9</v>
      </c>
      <c r="AC11" s="63">
        <v>204</v>
      </c>
      <c r="AD11" s="63">
        <v>223.9</v>
      </c>
      <c r="AE11" s="63">
        <v>232.5</v>
      </c>
      <c r="AF11" s="63">
        <v>240</v>
      </c>
      <c r="AG11" s="63">
        <v>263.2</v>
      </c>
      <c r="AH11" s="63">
        <v>267.3</v>
      </c>
      <c r="AI11" s="63">
        <v>255.9</v>
      </c>
      <c r="AJ11" s="66">
        <v>246.4</v>
      </c>
    </row>
    <row r="12" spans="1:46" ht="15.75" thickBot="1" x14ac:dyDescent="0.3">
      <c r="C12" s="37" t="s">
        <v>19</v>
      </c>
      <c r="D12" s="232"/>
      <c r="E12" s="232"/>
      <c r="F12" s="232"/>
      <c r="G12" s="232"/>
      <c r="H12" s="75">
        <f t="shared" ref="H12:V12" si="4">H11*6.28*H8/60/1000</f>
        <v>84.528800000000004</v>
      </c>
      <c r="I12" s="232"/>
      <c r="J12" s="75">
        <f t="shared" si="4"/>
        <v>104.93880000000001</v>
      </c>
      <c r="K12" s="232"/>
      <c r="L12" s="75">
        <f t="shared" si="4"/>
        <v>121.62266666666667</v>
      </c>
      <c r="M12" s="232"/>
      <c r="N12" s="75">
        <f t="shared" si="4"/>
        <v>137.87216666666669</v>
      </c>
      <c r="O12" s="232"/>
      <c r="P12" s="75">
        <f t="shared" si="4"/>
        <v>165.03840000000002</v>
      </c>
      <c r="Q12" s="232"/>
      <c r="R12" s="75">
        <f t="shared" si="4"/>
        <v>180.62850000000003</v>
      </c>
      <c r="S12" s="232"/>
      <c r="T12" s="75">
        <f t="shared" si="4"/>
        <v>187.56266666666664</v>
      </c>
      <c r="U12" s="232"/>
      <c r="V12" s="81">
        <f t="shared" si="4"/>
        <v>193.65950000000001</v>
      </c>
      <c r="Z12" s="37" t="s">
        <v>19</v>
      </c>
      <c r="AA12" s="63">
        <f t="shared" ref="AA12" si="5">AA11*6.28*AA8/60/1000</f>
        <v>53.568400000000004</v>
      </c>
      <c r="AB12" s="63">
        <f t="shared" ref="AB12:AJ12" si="6">AB11*6.28*AB8/60/1000</f>
        <v>68.467699999999994</v>
      </c>
      <c r="AC12" s="63">
        <f t="shared" si="6"/>
        <v>85.408000000000015</v>
      </c>
      <c r="AD12" s="63">
        <f t="shared" si="6"/>
        <v>105.45689999999999</v>
      </c>
      <c r="AE12" s="63">
        <f t="shared" si="6"/>
        <v>121.67500000000001</v>
      </c>
      <c r="AF12" s="63">
        <f t="shared" si="6"/>
        <v>138.16</v>
      </c>
      <c r="AG12" s="63">
        <f t="shared" si="6"/>
        <v>165.28960000000001</v>
      </c>
      <c r="AH12" s="63">
        <f t="shared" si="6"/>
        <v>181.85310000000004</v>
      </c>
      <c r="AI12" s="63">
        <f t="shared" si="6"/>
        <v>187.48940000000002</v>
      </c>
      <c r="AJ12" s="66">
        <f t="shared" si="6"/>
        <v>193.42400000000001</v>
      </c>
    </row>
    <row r="13" spans="1:46" ht="15.75" thickBot="1" x14ac:dyDescent="0.3">
      <c r="C13" s="41" t="s">
        <v>21</v>
      </c>
      <c r="D13" s="67" t="e">
        <f t="shared" ref="D13:G13" si="7">D9*1000/D12</f>
        <v>#DIV/0!</v>
      </c>
      <c r="E13" s="68" t="e">
        <f t="shared" si="7"/>
        <v>#DIV/0!</v>
      </c>
      <c r="F13" s="68" t="e">
        <f t="shared" si="7"/>
        <v>#DIV/0!</v>
      </c>
      <c r="G13" s="68" t="e">
        <f t="shared" si="7"/>
        <v>#DIV/0!</v>
      </c>
      <c r="H13" s="68">
        <f t="shared" ref="H13:V13" si="8">H9*1000/H12</f>
        <v>260.02971768202082</v>
      </c>
      <c r="I13" s="68" t="e">
        <f t="shared" si="8"/>
        <v>#DIV/0!</v>
      </c>
      <c r="J13" s="68">
        <f t="shared" si="8"/>
        <v>271.87274868780656</v>
      </c>
      <c r="K13" s="68" t="e">
        <f t="shared" si="8"/>
        <v>#DIV/0!</v>
      </c>
      <c r="L13" s="68">
        <f t="shared" si="8"/>
        <v>292.79081750112368</v>
      </c>
      <c r="M13" s="68" t="e">
        <f t="shared" si="8"/>
        <v>#DIV/0!</v>
      </c>
      <c r="N13" s="68">
        <f t="shared" si="8"/>
        <v>298.68247519139101</v>
      </c>
      <c r="O13" s="68" t="e">
        <f t="shared" si="8"/>
        <v>#DIV/0!</v>
      </c>
      <c r="P13" s="68">
        <f t="shared" si="8"/>
        <v>283.57036907774187</v>
      </c>
      <c r="Q13" s="68" t="e">
        <f t="shared" si="8"/>
        <v>#DIV/0!</v>
      </c>
      <c r="R13" s="68">
        <f t="shared" si="8"/>
        <v>281.59454349673496</v>
      </c>
      <c r="S13" s="68" t="e">
        <f t="shared" si="8"/>
        <v>#DIV/0!</v>
      </c>
      <c r="T13" s="68">
        <f t="shared" si="8"/>
        <v>288.38361578707918</v>
      </c>
      <c r="U13" s="68" t="e">
        <f t="shared" si="8"/>
        <v>#DIV/0!</v>
      </c>
      <c r="V13" s="69">
        <f t="shared" si="8"/>
        <v>299.08163555105739</v>
      </c>
      <c r="Z13" s="41" t="s">
        <v>21</v>
      </c>
      <c r="AA13" s="67">
        <f t="shared" ref="AA13" si="9">AA9*1000/AA12</f>
        <v>270.86864644081209</v>
      </c>
      <c r="AB13" s="68">
        <f>AB9*1000/AB12</f>
        <v>259.53843929327263</v>
      </c>
      <c r="AC13" s="68">
        <f t="shared" ref="AC13" si="10">AC9*1000/AC12</f>
        <v>259.10921693518168</v>
      </c>
      <c r="AD13" s="68">
        <f t="shared" ref="AD13:AJ13" si="11">AD9*1000/AD12</f>
        <v>270.44223753969635</v>
      </c>
      <c r="AE13" s="68">
        <f t="shared" si="11"/>
        <v>293.1580028765153</v>
      </c>
      <c r="AF13" s="68">
        <f t="shared" si="11"/>
        <v>298.29183555298204</v>
      </c>
      <c r="AG13" s="68">
        <f t="shared" si="11"/>
        <v>282.71591195090315</v>
      </c>
      <c r="AH13" s="68">
        <f t="shared" si="11"/>
        <v>280.33616144019533</v>
      </c>
      <c r="AI13" s="68">
        <f t="shared" si="11"/>
        <v>288.53897873693126</v>
      </c>
      <c r="AJ13" s="69">
        <f t="shared" si="11"/>
        <v>298.79952849698071</v>
      </c>
    </row>
    <row r="15" spans="1:46" s="228" customFormat="1" ht="15.75" customHeight="1" x14ac:dyDescent="0.25">
      <c r="A15" s="427" t="s">
        <v>130</v>
      </c>
      <c r="B15" s="427"/>
      <c r="C15" s="427"/>
      <c r="D15" s="427"/>
      <c r="E15" s="229" t="s">
        <v>131</v>
      </c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7"/>
      <c r="X15" s="424" t="s">
        <v>130</v>
      </c>
      <c r="Y15" s="425"/>
      <c r="Z15" s="425"/>
      <c r="AA15" s="425"/>
      <c r="AB15" s="229" t="s">
        <v>131</v>
      </c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  <c r="AM15" s="226"/>
      <c r="AN15" s="226"/>
      <c r="AO15" s="226"/>
      <c r="AP15" s="226"/>
    </row>
    <row r="16" spans="1:46" x14ac:dyDescent="0.25">
      <c r="A16" s="426" t="s">
        <v>133</v>
      </c>
      <c r="B16" s="426"/>
      <c r="C16" s="426"/>
      <c r="D16" s="426"/>
      <c r="E16" s="420" t="s">
        <v>134</v>
      </c>
      <c r="F16" s="420"/>
      <c r="G16" s="420"/>
      <c r="H16" s="420"/>
      <c r="I16" s="420"/>
      <c r="J16" s="420"/>
      <c r="X16" s="416" t="s">
        <v>129</v>
      </c>
      <c r="Y16" s="426"/>
      <c r="Z16" s="426"/>
      <c r="AA16" s="426"/>
      <c r="AB16" s="420" t="s">
        <v>136</v>
      </c>
      <c r="AC16" s="420"/>
      <c r="AD16" s="420"/>
      <c r="AE16" s="420"/>
      <c r="AF16" s="420"/>
      <c r="AG16" s="420"/>
      <c r="AH16" s="420"/>
    </row>
    <row r="17" spans="1:45" x14ac:dyDescent="0.25">
      <c r="A17" s="421" t="s">
        <v>126</v>
      </c>
      <c r="B17" s="422"/>
      <c r="C17" s="337" t="s">
        <v>12</v>
      </c>
      <c r="D17" s="338"/>
      <c r="E17" s="338"/>
      <c r="F17" s="338"/>
      <c r="G17" s="338"/>
      <c r="H17" s="338"/>
      <c r="I17" s="32" t="s">
        <v>6</v>
      </c>
      <c r="J17" s="359" t="s">
        <v>114</v>
      </c>
      <c r="K17" s="359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4"/>
      <c r="X17" s="443" t="s">
        <v>125</v>
      </c>
      <c r="Y17" s="444"/>
      <c r="Z17" s="369" t="s">
        <v>138</v>
      </c>
      <c r="AA17" s="370"/>
      <c r="AB17" s="370"/>
      <c r="AC17" s="370"/>
      <c r="AD17" s="370"/>
      <c r="AE17" s="370"/>
      <c r="AF17" s="32" t="s">
        <v>137</v>
      </c>
      <c r="AG17" s="359" t="s">
        <v>114</v>
      </c>
      <c r="AH17" s="359"/>
      <c r="AI17" s="33"/>
      <c r="AJ17" s="34"/>
    </row>
    <row r="18" spans="1:45" x14ac:dyDescent="0.25">
      <c r="C18" s="3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36"/>
      <c r="Z18" s="35"/>
      <c r="AA18" s="13"/>
      <c r="AB18" s="13"/>
      <c r="AC18" s="13"/>
      <c r="AD18" s="13"/>
      <c r="AE18" s="13"/>
      <c r="AF18" s="13"/>
      <c r="AG18" s="13"/>
      <c r="AH18" s="13"/>
      <c r="AI18" s="13"/>
      <c r="AJ18" s="36"/>
    </row>
    <row r="19" spans="1:45" x14ac:dyDescent="0.25">
      <c r="C19" s="37" t="s">
        <v>1</v>
      </c>
      <c r="D19" s="38">
        <v>3000</v>
      </c>
      <c r="E19" s="38">
        <v>3250</v>
      </c>
      <c r="F19" s="38">
        <v>3500</v>
      </c>
      <c r="G19" s="38">
        <v>3750</v>
      </c>
      <c r="H19" s="27">
        <v>4000</v>
      </c>
      <c r="I19" s="27">
        <v>4250</v>
      </c>
      <c r="J19" s="27">
        <v>4500</v>
      </c>
      <c r="K19" s="27">
        <v>4750</v>
      </c>
      <c r="L19" s="27">
        <v>5000</v>
      </c>
      <c r="M19" s="27">
        <v>5250</v>
      </c>
      <c r="N19" s="27">
        <v>5500</v>
      </c>
      <c r="O19" s="27">
        <v>5750</v>
      </c>
      <c r="P19" s="27">
        <v>6000</v>
      </c>
      <c r="Q19" s="27">
        <v>6250</v>
      </c>
      <c r="R19" s="27">
        <v>6500</v>
      </c>
      <c r="S19" s="27">
        <v>6750</v>
      </c>
      <c r="T19" s="27">
        <v>7000</v>
      </c>
      <c r="U19" s="27">
        <v>7250</v>
      </c>
      <c r="V19" s="42">
        <v>7500</v>
      </c>
      <c r="Z19" s="37" t="s">
        <v>1</v>
      </c>
      <c r="AA19" s="38">
        <v>3000</v>
      </c>
      <c r="AB19" s="38">
        <v>3500</v>
      </c>
      <c r="AC19" s="64">
        <v>4000</v>
      </c>
      <c r="AD19" s="64">
        <v>4500</v>
      </c>
      <c r="AE19" s="64">
        <v>5000</v>
      </c>
      <c r="AF19" s="64">
        <v>5500</v>
      </c>
      <c r="AG19" s="64">
        <v>6000</v>
      </c>
      <c r="AH19" s="64">
        <v>6500</v>
      </c>
      <c r="AI19" s="64">
        <v>7000</v>
      </c>
      <c r="AJ19" s="65">
        <v>7500</v>
      </c>
    </row>
    <row r="20" spans="1:45" x14ac:dyDescent="0.25">
      <c r="C20" s="37" t="s">
        <v>4</v>
      </c>
      <c r="D20" s="230"/>
      <c r="E20" s="230"/>
      <c r="F20" s="230"/>
      <c r="G20" s="73">
        <v>57.64</v>
      </c>
      <c r="H20" s="73">
        <v>64.14</v>
      </c>
      <c r="I20" s="73">
        <v>69.38</v>
      </c>
      <c r="J20" s="73">
        <v>77.25</v>
      </c>
      <c r="K20" s="73">
        <v>86.27</v>
      </c>
      <c r="L20" s="73">
        <v>93.04</v>
      </c>
      <c r="M20" s="73">
        <v>103.73</v>
      </c>
      <c r="N20" s="73">
        <v>115.75</v>
      </c>
      <c r="O20" s="73">
        <v>120.22</v>
      </c>
      <c r="P20" s="73">
        <v>140.36000000000001</v>
      </c>
      <c r="Q20" s="73">
        <v>137.12</v>
      </c>
      <c r="R20" s="73">
        <v>156.72999999999999</v>
      </c>
      <c r="S20" s="73">
        <v>152.9</v>
      </c>
      <c r="T20" s="73">
        <v>152.80000000000001</v>
      </c>
      <c r="U20" s="73">
        <v>154.1</v>
      </c>
      <c r="V20" s="74">
        <v>151.91</v>
      </c>
      <c r="Z20" s="37" t="s">
        <v>4</v>
      </c>
      <c r="AA20" s="63">
        <v>23.048999999999999</v>
      </c>
      <c r="AB20" s="63">
        <v>27.372</v>
      </c>
      <c r="AC20" s="63">
        <v>36.002000000000002</v>
      </c>
      <c r="AD20" s="63">
        <v>49.03</v>
      </c>
      <c r="AE20" s="63">
        <v>58.15</v>
      </c>
      <c r="AF20" s="63">
        <v>63.899000000000001</v>
      </c>
      <c r="AG20" s="63">
        <v>75.194999999999993</v>
      </c>
      <c r="AH20" s="63">
        <v>83.89</v>
      </c>
      <c r="AI20" s="63">
        <v>85.888999999999996</v>
      </c>
      <c r="AJ20" s="66">
        <v>89.983999999999995</v>
      </c>
    </row>
    <row r="21" spans="1:45" x14ac:dyDescent="0.25">
      <c r="C21" s="37" t="s">
        <v>5</v>
      </c>
      <c r="D21" s="230"/>
      <c r="E21" s="230"/>
      <c r="F21" s="230"/>
      <c r="G21" s="76">
        <f t="shared" ref="G21:H21" si="12">G20/3600</f>
        <v>1.6011111111111111E-2</v>
      </c>
      <c r="H21" s="76">
        <f t="shared" si="12"/>
        <v>1.7816666666666668E-2</v>
      </c>
      <c r="I21" s="76">
        <f t="shared" ref="I21:V21" si="13">I20/3600</f>
        <v>1.9272222222222222E-2</v>
      </c>
      <c r="J21" s="76">
        <f t="shared" si="13"/>
        <v>2.1458333333333333E-2</v>
      </c>
      <c r="K21" s="76">
        <f t="shared" si="13"/>
        <v>2.3963888888888889E-2</v>
      </c>
      <c r="L21" s="76">
        <f t="shared" si="13"/>
        <v>2.5844444444444448E-2</v>
      </c>
      <c r="M21" s="76">
        <f t="shared" si="13"/>
        <v>2.8813888888888889E-2</v>
      </c>
      <c r="N21" s="76">
        <f t="shared" si="13"/>
        <v>3.215277777777778E-2</v>
      </c>
      <c r="O21" s="76">
        <f t="shared" si="13"/>
        <v>3.3394444444444442E-2</v>
      </c>
      <c r="P21" s="76">
        <f t="shared" si="13"/>
        <v>3.8988888888888892E-2</v>
      </c>
      <c r="Q21" s="76">
        <f t="shared" si="13"/>
        <v>3.8088888888888887E-2</v>
      </c>
      <c r="R21" s="76">
        <f t="shared" si="13"/>
        <v>4.3536111111111109E-2</v>
      </c>
      <c r="S21" s="76">
        <f t="shared" si="13"/>
        <v>4.2472222222222224E-2</v>
      </c>
      <c r="T21" s="76">
        <f t="shared" si="13"/>
        <v>4.2444444444444444E-2</v>
      </c>
      <c r="U21" s="76">
        <f t="shared" si="13"/>
        <v>4.2805555555555555E-2</v>
      </c>
      <c r="V21" s="80">
        <f t="shared" si="13"/>
        <v>4.2197222222222219E-2</v>
      </c>
      <c r="Z21" s="37" t="s">
        <v>5</v>
      </c>
      <c r="AA21" s="78">
        <f t="shared" ref="AA21" si="14">AA20/3600</f>
        <v>6.4025000000000002E-3</v>
      </c>
      <c r="AB21" s="78">
        <f>AB20/3600</f>
        <v>7.6033333333333335E-3</v>
      </c>
      <c r="AC21" s="78">
        <f t="shared" ref="AC21" si="15">AC20/3600</f>
        <v>1.0000555555555556E-2</v>
      </c>
      <c r="AD21" s="78">
        <f t="shared" ref="AD21:AJ21" si="16">AD20/3600</f>
        <v>1.3619444444444444E-2</v>
      </c>
      <c r="AE21" s="78">
        <f t="shared" si="16"/>
        <v>1.6152777777777776E-2</v>
      </c>
      <c r="AF21" s="78">
        <f t="shared" si="16"/>
        <v>1.7749722222222222E-2</v>
      </c>
      <c r="AG21" s="78">
        <f t="shared" si="16"/>
        <v>2.08875E-2</v>
      </c>
      <c r="AH21" s="78">
        <f t="shared" si="16"/>
        <v>2.3302777777777776E-2</v>
      </c>
      <c r="AI21" s="78">
        <f t="shared" si="16"/>
        <v>2.3858055555555556E-2</v>
      </c>
      <c r="AJ21" s="79">
        <f t="shared" si="16"/>
        <v>2.4995555555555556E-2</v>
      </c>
    </row>
    <row r="22" spans="1:45" x14ac:dyDescent="0.25">
      <c r="C22" s="37" t="s">
        <v>18</v>
      </c>
      <c r="D22" s="230"/>
      <c r="E22" s="230"/>
      <c r="F22" s="230"/>
      <c r="G22" s="73">
        <v>603</v>
      </c>
      <c r="H22" s="73">
        <v>631.70000000000005</v>
      </c>
      <c r="I22" s="73">
        <v>641.6</v>
      </c>
      <c r="J22" s="73">
        <v>682.8</v>
      </c>
      <c r="K22" s="73">
        <v>703.6</v>
      </c>
      <c r="L22" s="73">
        <v>709.8</v>
      </c>
      <c r="M22" s="73">
        <v>728.9</v>
      </c>
      <c r="N22" s="73">
        <v>764.2</v>
      </c>
      <c r="O22" s="73">
        <v>741.3</v>
      </c>
      <c r="P22" s="73">
        <v>788.9</v>
      </c>
      <c r="Q22" s="73">
        <v>746.1</v>
      </c>
      <c r="R22" s="73">
        <v>795.9</v>
      </c>
      <c r="S22" s="73">
        <v>751.6</v>
      </c>
      <c r="T22" s="73">
        <v>733</v>
      </c>
      <c r="U22" s="73">
        <v>712</v>
      </c>
      <c r="V22" s="74">
        <v>672.7</v>
      </c>
      <c r="Z22" s="37" t="s">
        <v>18</v>
      </c>
      <c r="AA22" s="63">
        <v>318.10000000000002</v>
      </c>
      <c r="AB22" s="63">
        <v>327.8</v>
      </c>
      <c r="AC22" s="63">
        <v>379.6</v>
      </c>
      <c r="AD22" s="63">
        <v>409.6</v>
      </c>
      <c r="AE22" s="63">
        <v>443.9</v>
      </c>
      <c r="AF22" s="63">
        <v>438.8</v>
      </c>
      <c r="AG22" s="63">
        <v>474.3</v>
      </c>
      <c r="AH22" s="63">
        <v>489.8</v>
      </c>
      <c r="AI22" s="63">
        <v>449.6</v>
      </c>
      <c r="AJ22" s="66">
        <v>435.6</v>
      </c>
    </row>
    <row r="23" spans="1:45" ht="15.75" thickBot="1" x14ac:dyDescent="0.3">
      <c r="C23" s="37" t="s">
        <v>19</v>
      </c>
      <c r="D23" s="230"/>
      <c r="E23" s="230"/>
      <c r="F23" s="230"/>
      <c r="G23" s="75">
        <f t="shared" ref="G23:H23" si="17">G22*6.28*G19/60/1000</f>
        <v>236.67750000000001</v>
      </c>
      <c r="H23" s="75">
        <f t="shared" si="17"/>
        <v>264.47173333333336</v>
      </c>
      <c r="I23" s="75">
        <f t="shared" ref="I23:V23" si="18">I22*6.28*I19/60/1000</f>
        <v>285.4050666666667</v>
      </c>
      <c r="J23" s="75">
        <f t="shared" si="18"/>
        <v>321.59879999999993</v>
      </c>
      <c r="K23" s="75">
        <f t="shared" si="18"/>
        <v>349.80646666666667</v>
      </c>
      <c r="L23" s="75">
        <f t="shared" si="18"/>
        <v>371.46199999999999</v>
      </c>
      <c r="M23" s="75">
        <f t="shared" si="18"/>
        <v>400.53055000000001</v>
      </c>
      <c r="N23" s="75">
        <f t="shared" si="18"/>
        <v>439.92446666666672</v>
      </c>
      <c r="O23" s="75">
        <f t="shared" si="18"/>
        <v>446.13904999999994</v>
      </c>
      <c r="P23" s="75">
        <f t="shared" si="18"/>
        <v>495.42920000000009</v>
      </c>
      <c r="Q23" s="75">
        <f t="shared" si="18"/>
        <v>488.07375000000008</v>
      </c>
      <c r="R23" s="75">
        <f t="shared" si="18"/>
        <v>541.47730000000001</v>
      </c>
      <c r="S23" s="75">
        <f t="shared" si="18"/>
        <v>531.00540000000001</v>
      </c>
      <c r="T23" s="75">
        <f t="shared" si="18"/>
        <v>537.04466666666667</v>
      </c>
      <c r="U23" s="75">
        <f t="shared" si="18"/>
        <v>540.28933333333339</v>
      </c>
      <c r="V23" s="81">
        <f t="shared" si="18"/>
        <v>528.06950000000006</v>
      </c>
      <c r="Z23" s="37" t="s">
        <v>19</v>
      </c>
      <c r="AA23" s="63">
        <f t="shared" ref="AA23" si="19">AA22*6.28*AA19/60/1000</f>
        <v>99.883399999999995</v>
      </c>
      <c r="AB23" s="63">
        <f t="shared" ref="AB23:AJ23" si="20">AB22*6.28*AB19/60/1000</f>
        <v>120.08406666666669</v>
      </c>
      <c r="AC23" s="63">
        <f t="shared" si="20"/>
        <v>158.92586666666671</v>
      </c>
      <c r="AD23" s="63">
        <f t="shared" si="20"/>
        <v>192.92160000000004</v>
      </c>
      <c r="AE23" s="63">
        <f t="shared" si="20"/>
        <v>232.30766666666665</v>
      </c>
      <c r="AF23" s="63">
        <f t="shared" si="20"/>
        <v>252.60253333333335</v>
      </c>
      <c r="AG23" s="63">
        <f t="shared" si="20"/>
        <v>297.86040000000003</v>
      </c>
      <c r="AH23" s="63">
        <f t="shared" si="20"/>
        <v>333.22726666666671</v>
      </c>
      <c r="AI23" s="63">
        <f t="shared" si="20"/>
        <v>329.40693333333343</v>
      </c>
      <c r="AJ23" s="66">
        <f t="shared" si="20"/>
        <v>341.94600000000003</v>
      </c>
    </row>
    <row r="24" spans="1:45" ht="15.75" thickBot="1" x14ac:dyDescent="0.3">
      <c r="C24" s="41" t="s">
        <v>21</v>
      </c>
      <c r="D24" s="67" t="e">
        <f t="shared" ref="D24:H24" si="21">D20*1000/D23</f>
        <v>#DIV/0!</v>
      </c>
      <c r="E24" s="68" t="e">
        <f t="shared" si="21"/>
        <v>#DIV/0!</v>
      </c>
      <c r="F24" s="68" t="e">
        <f t="shared" si="21"/>
        <v>#DIV/0!</v>
      </c>
      <c r="G24" s="68">
        <f t="shared" si="21"/>
        <v>243.53814790168056</v>
      </c>
      <c r="H24" s="68">
        <f t="shared" si="21"/>
        <v>242.52119193078224</v>
      </c>
      <c r="I24" s="68">
        <f t="shared" ref="I24:V24" si="22">I20*1000/I23</f>
        <v>243.09309154988136</v>
      </c>
      <c r="J24" s="68">
        <f t="shared" si="22"/>
        <v>240.20612017209024</v>
      </c>
      <c r="K24" s="68">
        <f t="shared" si="22"/>
        <v>246.62208455456417</v>
      </c>
      <c r="L24" s="68">
        <f t="shared" si="22"/>
        <v>250.4697654134205</v>
      </c>
      <c r="M24" s="68">
        <f t="shared" si="22"/>
        <v>258.98149342166283</v>
      </c>
      <c r="N24" s="68">
        <f t="shared" si="22"/>
        <v>263.11334960986483</v>
      </c>
      <c r="O24" s="68">
        <f t="shared" si="22"/>
        <v>269.46755725597211</v>
      </c>
      <c r="P24" s="68">
        <f t="shared" si="22"/>
        <v>283.30990583518286</v>
      </c>
      <c r="Q24" s="68">
        <f t="shared" si="22"/>
        <v>280.94114875057301</v>
      </c>
      <c r="R24" s="68">
        <f t="shared" si="22"/>
        <v>289.44888363741194</v>
      </c>
      <c r="S24" s="68">
        <f t="shared" si="22"/>
        <v>287.94434105566535</v>
      </c>
      <c r="T24" s="68">
        <f t="shared" si="22"/>
        <v>284.52009578346679</v>
      </c>
      <c r="U24" s="68">
        <f t="shared" si="22"/>
        <v>285.2175501027844</v>
      </c>
      <c r="V24" s="69">
        <f t="shared" si="22"/>
        <v>287.67046761837219</v>
      </c>
      <c r="Z24" s="41" t="s">
        <v>21</v>
      </c>
      <c r="AA24" s="67">
        <f t="shared" ref="AA24" si="23">AA20*1000/AA23</f>
        <v>230.7590650698715</v>
      </c>
      <c r="AB24" s="68">
        <f>AB20*1000/AB23</f>
        <v>227.94031514588943</v>
      </c>
      <c r="AC24" s="68">
        <f t="shared" ref="AC24" si="24">AC20*1000/AC23</f>
        <v>226.53329351043331</v>
      </c>
      <c r="AD24" s="68">
        <f t="shared" ref="AD24:AJ24" si="25">AD20*1000/AD23</f>
        <v>254.14468882696386</v>
      </c>
      <c r="AE24" s="68">
        <f t="shared" si="25"/>
        <v>250.31459716496659</v>
      </c>
      <c r="AF24" s="68">
        <f t="shared" si="25"/>
        <v>252.96262534184137</v>
      </c>
      <c r="AG24" s="68">
        <f t="shared" si="25"/>
        <v>252.45047680054145</v>
      </c>
      <c r="AH24" s="68">
        <f t="shared" si="25"/>
        <v>251.75010688401045</v>
      </c>
      <c r="AI24" s="68">
        <f t="shared" si="25"/>
        <v>260.73828844727808</v>
      </c>
      <c r="AJ24" s="69">
        <f t="shared" si="25"/>
        <v>263.15266153135286</v>
      </c>
    </row>
    <row r="25" spans="1:45" x14ac:dyDescent="0.25">
      <c r="Z25" s="38"/>
      <c r="AA25" s="38"/>
      <c r="AB25" s="38"/>
      <c r="AC25" s="38"/>
      <c r="AD25" s="38"/>
      <c r="AE25" s="211"/>
      <c r="AF25" s="211"/>
      <c r="AG25" s="211"/>
      <c r="AH25" s="211"/>
      <c r="AI25" s="211"/>
      <c r="AJ25" s="211"/>
    </row>
    <row r="26" spans="1:45" ht="12.75" customHeight="1" x14ac:dyDescent="0.25"/>
    <row r="27" spans="1:45" s="228" customFormat="1" ht="15.75" customHeight="1" x14ac:dyDescent="0.25">
      <c r="A27" s="427" t="s">
        <v>130</v>
      </c>
      <c r="B27" s="427"/>
      <c r="C27" s="427"/>
      <c r="D27" s="427"/>
      <c r="E27" s="229" t="s">
        <v>131</v>
      </c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7"/>
      <c r="X27" s="424" t="s">
        <v>130</v>
      </c>
      <c r="Y27" s="425"/>
      <c r="Z27" s="425"/>
      <c r="AA27" s="425"/>
      <c r="AB27" s="229" t="s">
        <v>131</v>
      </c>
      <c r="AC27" s="226"/>
      <c r="AD27" s="226"/>
      <c r="AE27" s="226"/>
      <c r="AF27" s="226"/>
      <c r="AG27" s="226"/>
      <c r="AH27" s="226"/>
      <c r="AI27" s="226"/>
      <c r="AJ27" s="226"/>
    </row>
    <row r="28" spans="1:45" x14ac:dyDescent="0.25">
      <c r="A28" s="426" t="s">
        <v>129</v>
      </c>
      <c r="B28" s="426"/>
      <c r="C28" s="426"/>
      <c r="D28" s="426"/>
      <c r="E28" s="423" t="s">
        <v>132</v>
      </c>
      <c r="F28" s="423"/>
      <c r="G28" s="423"/>
      <c r="H28" s="423"/>
      <c r="I28" s="423"/>
      <c r="J28" s="423"/>
      <c r="X28" s="416" t="s">
        <v>129</v>
      </c>
      <c r="Y28" s="417"/>
      <c r="Z28" s="417"/>
      <c r="AA28" s="417"/>
      <c r="AB28" s="420" t="s">
        <v>136</v>
      </c>
      <c r="AC28" s="420"/>
      <c r="AD28" s="420"/>
      <c r="AE28" s="420"/>
      <c r="AF28" s="420"/>
      <c r="AG28" s="420"/>
      <c r="AH28" s="420"/>
    </row>
    <row r="29" spans="1:45" x14ac:dyDescent="0.25">
      <c r="A29" s="421" t="s">
        <v>126</v>
      </c>
      <c r="B29" s="422"/>
      <c r="C29" s="337" t="s">
        <v>12</v>
      </c>
      <c r="D29" s="338"/>
      <c r="E29" s="338"/>
      <c r="F29" s="338"/>
      <c r="G29" s="338"/>
      <c r="H29" s="338"/>
      <c r="I29" s="32" t="s">
        <v>6</v>
      </c>
      <c r="J29" s="359" t="s">
        <v>114</v>
      </c>
      <c r="K29" s="359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4"/>
      <c r="X29" s="421" t="s">
        <v>126</v>
      </c>
      <c r="Y29" s="422"/>
      <c r="Z29" s="369" t="s">
        <v>138</v>
      </c>
      <c r="AA29" s="370"/>
      <c r="AB29" s="370"/>
      <c r="AC29" s="370"/>
      <c r="AD29" s="370"/>
      <c r="AE29" s="370"/>
      <c r="AF29" s="32" t="s">
        <v>6</v>
      </c>
      <c r="AG29" s="359" t="s">
        <v>114</v>
      </c>
      <c r="AH29" s="359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4"/>
    </row>
    <row r="30" spans="1:45" x14ac:dyDescent="0.25">
      <c r="B30" s="259"/>
      <c r="C30" s="3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36"/>
      <c r="Y30" s="259"/>
      <c r="Z30" s="35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36"/>
    </row>
    <row r="31" spans="1:45" x14ac:dyDescent="0.25">
      <c r="C31" s="37" t="s">
        <v>1</v>
      </c>
      <c r="D31" s="38">
        <v>3000</v>
      </c>
      <c r="E31" s="38">
        <v>3250</v>
      </c>
      <c r="F31" s="38">
        <v>3500</v>
      </c>
      <c r="G31" s="38">
        <v>3750</v>
      </c>
      <c r="H31" s="27">
        <v>4000</v>
      </c>
      <c r="I31" s="27">
        <v>4250</v>
      </c>
      <c r="J31" s="27">
        <v>4500</v>
      </c>
      <c r="K31" s="27">
        <v>4750</v>
      </c>
      <c r="L31" s="27">
        <v>5000</v>
      </c>
      <c r="M31" s="27">
        <v>5250</v>
      </c>
      <c r="N31" s="27">
        <v>5500</v>
      </c>
      <c r="O31" s="27">
        <v>5750</v>
      </c>
      <c r="P31" s="27">
        <v>6000</v>
      </c>
      <c r="Q31" s="27">
        <v>6250</v>
      </c>
      <c r="R31" s="27">
        <v>6500</v>
      </c>
      <c r="S31" s="27">
        <v>6750</v>
      </c>
      <c r="T31" s="27">
        <v>7000</v>
      </c>
      <c r="U31" s="27">
        <v>7250</v>
      </c>
      <c r="V31" s="42">
        <v>7500</v>
      </c>
      <c r="Z31" s="37" t="s">
        <v>1</v>
      </c>
      <c r="AA31" s="38">
        <v>3000</v>
      </c>
      <c r="AB31" s="38">
        <v>3250</v>
      </c>
      <c r="AC31" s="38">
        <v>3500</v>
      </c>
      <c r="AD31" s="38">
        <v>3750</v>
      </c>
      <c r="AE31" s="64">
        <v>4000</v>
      </c>
      <c r="AF31" s="64">
        <v>4250</v>
      </c>
      <c r="AG31" s="64">
        <v>4500</v>
      </c>
      <c r="AH31" s="64">
        <v>4750</v>
      </c>
      <c r="AI31" s="64">
        <v>5000</v>
      </c>
      <c r="AJ31" s="64">
        <v>5250</v>
      </c>
      <c r="AK31" s="64">
        <v>5500</v>
      </c>
      <c r="AL31" s="64">
        <v>5750</v>
      </c>
      <c r="AM31" s="64">
        <v>6000</v>
      </c>
      <c r="AN31" s="64">
        <v>6250</v>
      </c>
      <c r="AO31" s="64">
        <v>6500</v>
      </c>
      <c r="AP31" s="64">
        <v>6750</v>
      </c>
      <c r="AQ31" s="64">
        <v>7000</v>
      </c>
      <c r="AR31" s="64">
        <v>7250</v>
      </c>
      <c r="AS31" s="65">
        <v>7500</v>
      </c>
    </row>
    <row r="32" spans="1:45" x14ac:dyDescent="0.25">
      <c r="C32" s="37" t="s">
        <v>4</v>
      </c>
      <c r="D32" s="230"/>
      <c r="E32" s="230"/>
      <c r="F32" s="230"/>
      <c r="G32" s="73">
        <v>51.16</v>
      </c>
      <c r="H32" s="73">
        <v>57.65</v>
      </c>
      <c r="I32" s="73">
        <v>65.022000000000006</v>
      </c>
      <c r="J32" s="73">
        <v>73.168000000000006</v>
      </c>
      <c r="K32" s="73">
        <v>82.26</v>
      </c>
      <c r="L32" s="73">
        <v>90.66</v>
      </c>
      <c r="M32" s="73">
        <v>101.65300000000001</v>
      </c>
      <c r="N32" s="73">
        <v>109.17</v>
      </c>
      <c r="O32" s="73">
        <v>115.38</v>
      </c>
      <c r="P32" s="73">
        <v>123.98</v>
      </c>
      <c r="Q32" s="73">
        <v>128.25</v>
      </c>
      <c r="R32" s="73">
        <v>135.102</v>
      </c>
      <c r="S32" s="73">
        <v>137.22999999999999</v>
      </c>
      <c r="T32" s="73">
        <v>136.43</v>
      </c>
      <c r="U32" s="73">
        <v>138.66</v>
      </c>
      <c r="V32" s="74">
        <v>137.9</v>
      </c>
      <c r="Z32" s="37" t="s">
        <v>4</v>
      </c>
      <c r="AA32" s="63">
        <v>37.113999999999997</v>
      </c>
      <c r="AB32" s="63">
        <v>40.051000000000002</v>
      </c>
      <c r="AC32" s="63">
        <v>44</v>
      </c>
      <c r="AD32" s="63">
        <v>50.008000000000003</v>
      </c>
      <c r="AE32" s="63">
        <v>56.975999999999999</v>
      </c>
      <c r="AF32" s="63">
        <v>62.247</v>
      </c>
      <c r="AG32" s="63">
        <v>69.706999999999994</v>
      </c>
      <c r="AH32" s="63">
        <v>77.369</v>
      </c>
      <c r="AI32" s="63">
        <v>86.769000000000005</v>
      </c>
      <c r="AJ32" s="63">
        <v>94.855000000000004</v>
      </c>
      <c r="AK32" s="63">
        <v>102.096</v>
      </c>
      <c r="AL32" s="63">
        <v>108.989</v>
      </c>
      <c r="AM32" s="63">
        <v>113.291</v>
      </c>
      <c r="AN32" s="63">
        <v>119.12</v>
      </c>
      <c r="AO32" s="63">
        <v>124.247</v>
      </c>
      <c r="AP32" s="63">
        <v>129.18799999999999</v>
      </c>
      <c r="AQ32" s="63">
        <v>131.35400000000001</v>
      </c>
      <c r="AR32" s="63">
        <v>131.898</v>
      </c>
      <c r="AS32" s="66">
        <v>134.63499999999999</v>
      </c>
    </row>
    <row r="33" spans="3:45" x14ac:dyDescent="0.25">
      <c r="C33" s="37" t="s">
        <v>5</v>
      </c>
      <c r="D33" s="231"/>
      <c r="E33" s="231"/>
      <c r="F33" s="231"/>
      <c r="G33" s="76">
        <f t="shared" ref="G33:V33" si="26">G32/3600</f>
        <v>1.421111111111111E-2</v>
      </c>
      <c r="H33" s="76">
        <f t="shared" si="26"/>
        <v>1.601388888888889E-2</v>
      </c>
      <c r="I33" s="76">
        <f t="shared" si="26"/>
        <v>1.8061666666666667E-2</v>
      </c>
      <c r="J33" s="76">
        <f t="shared" si="26"/>
        <v>2.0324444444444447E-2</v>
      </c>
      <c r="K33" s="76">
        <f t="shared" si="26"/>
        <v>2.2850000000000002E-2</v>
      </c>
      <c r="L33" s="76">
        <f t="shared" si="26"/>
        <v>2.5183333333333332E-2</v>
      </c>
      <c r="M33" s="76">
        <f t="shared" si="26"/>
        <v>2.8236944444444446E-2</v>
      </c>
      <c r="N33" s="76">
        <f t="shared" si="26"/>
        <v>3.0325000000000001E-2</v>
      </c>
      <c r="O33" s="76">
        <f t="shared" si="26"/>
        <v>3.2050000000000002E-2</v>
      </c>
      <c r="P33" s="76">
        <f t="shared" si="26"/>
        <v>3.4438888888888887E-2</v>
      </c>
      <c r="Q33" s="76">
        <f t="shared" si="26"/>
        <v>3.5624999999999997E-2</v>
      </c>
      <c r="R33" s="76">
        <f t="shared" si="26"/>
        <v>3.7528333333333337E-2</v>
      </c>
      <c r="S33" s="76">
        <f t="shared" si="26"/>
        <v>3.8119444444444442E-2</v>
      </c>
      <c r="T33" s="76">
        <f t="shared" si="26"/>
        <v>3.7897222222222221E-2</v>
      </c>
      <c r="U33" s="76">
        <f t="shared" si="26"/>
        <v>3.8516666666666664E-2</v>
      </c>
      <c r="V33" s="80">
        <f t="shared" si="26"/>
        <v>3.8305555555555558E-2</v>
      </c>
      <c r="Z33" s="37" t="s">
        <v>5</v>
      </c>
      <c r="AA33" s="78">
        <f t="shared" ref="AA33:AD33" si="27">AA32/3600</f>
        <v>1.0309444444444444E-2</v>
      </c>
      <c r="AB33" s="78">
        <f t="shared" si="27"/>
        <v>1.1125277777777779E-2</v>
      </c>
      <c r="AC33" s="78">
        <f t="shared" si="27"/>
        <v>1.2222222222222223E-2</v>
      </c>
      <c r="AD33" s="78">
        <f t="shared" si="27"/>
        <v>1.3891111111111111E-2</v>
      </c>
      <c r="AE33" s="78">
        <f t="shared" ref="AE33:AS33" si="28">AE32/3600</f>
        <v>1.5826666666666666E-2</v>
      </c>
      <c r="AF33" s="78">
        <f t="shared" si="28"/>
        <v>1.7290833333333332E-2</v>
      </c>
      <c r="AG33" s="78">
        <f t="shared" si="28"/>
        <v>1.9363055555555553E-2</v>
      </c>
      <c r="AH33" s="78">
        <f t="shared" si="28"/>
        <v>2.149138888888889E-2</v>
      </c>
      <c r="AI33" s="78">
        <f t="shared" si="28"/>
        <v>2.4102500000000002E-2</v>
      </c>
      <c r="AJ33" s="78">
        <f t="shared" si="28"/>
        <v>2.6348611111111111E-2</v>
      </c>
      <c r="AK33" s="78">
        <f t="shared" si="28"/>
        <v>2.836E-2</v>
      </c>
      <c r="AL33" s="78">
        <f t="shared" si="28"/>
        <v>3.0274722222222224E-2</v>
      </c>
      <c r="AM33" s="78">
        <f t="shared" si="28"/>
        <v>3.1469722222222218E-2</v>
      </c>
      <c r="AN33" s="78">
        <f t="shared" si="28"/>
        <v>3.308888888888889E-2</v>
      </c>
      <c r="AO33" s="78">
        <f t="shared" si="28"/>
        <v>3.4513055555555554E-2</v>
      </c>
      <c r="AP33" s="78">
        <f t="shared" si="28"/>
        <v>3.5885555555555552E-2</v>
      </c>
      <c r="AQ33" s="78">
        <f t="shared" si="28"/>
        <v>3.6487222222222226E-2</v>
      </c>
      <c r="AR33" s="78">
        <f t="shared" si="28"/>
        <v>3.6638333333333335E-2</v>
      </c>
      <c r="AS33" s="79">
        <f t="shared" si="28"/>
        <v>3.7398611111111112E-2</v>
      </c>
    </row>
    <row r="34" spans="3:45" x14ac:dyDescent="0.25">
      <c r="C34" s="37" t="s">
        <v>18</v>
      </c>
      <c r="D34" s="230"/>
      <c r="E34" s="230"/>
      <c r="F34" s="230"/>
      <c r="G34" s="73">
        <v>595.29999999999995</v>
      </c>
      <c r="H34" s="73">
        <v>625.6</v>
      </c>
      <c r="I34" s="73">
        <v>658.4</v>
      </c>
      <c r="J34" s="73">
        <v>691.8</v>
      </c>
      <c r="K34" s="73">
        <v>713.1</v>
      </c>
      <c r="L34" s="73">
        <v>720.9</v>
      </c>
      <c r="M34" s="73">
        <v>755.1</v>
      </c>
      <c r="N34" s="73">
        <v>763.5</v>
      </c>
      <c r="O34" s="73">
        <v>762.8</v>
      </c>
      <c r="P34" s="73">
        <v>782.9</v>
      </c>
      <c r="Q34" s="73">
        <v>781.2</v>
      </c>
      <c r="R34" s="73">
        <v>783.1</v>
      </c>
      <c r="S34" s="73">
        <v>767.6</v>
      </c>
      <c r="T34" s="73">
        <v>734.9</v>
      </c>
      <c r="U34" s="73">
        <v>718.1</v>
      </c>
      <c r="V34" s="74">
        <v>680</v>
      </c>
      <c r="Z34" s="37" t="s">
        <v>18</v>
      </c>
      <c r="AA34" s="63">
        <v>531.79999999999995</v>
      </c>
      <c r="AB34" s="63">
        <v>538.6</v>
      </c>
      <c r="AC34" s="63">
        <v>552.20000000000005</v>
      </c>
      <c r="AD34" s="63">
        <v>588.5</v>
      </c>
      <c r="AE34" s="63">
        <v>629</v>
      </c>
      <c r="AF34" s="63">
        <v>635.79999999999995</v>
      </c>
      <c r="AG34" s="63">
        <v>671.4</v>
      </c>
      <c r="AH34" s="63">
        <v>692.1</v>
      </c>
      <c r="AI34" s="63">
        <v>717.5</v>
      </c>
      <c r="AJ34" s="63">
        <v>739.7</v>
      </c>
      <c r="AK34" s="63">
        <v>759.3</v>
      </c>
      <c r="AL34" s="63">
        <v>770</v>
      </c>
      <c r="AM34" s="63">
        <v>775.8</v>
      </c>
      <c r="AN34" s="63">
        <v>775.2</v>
      </c>
      <c r="AO34" s="63">
        <v>768.8</v>
      </c>
      <c r="AP34" s="63">
        <v>764.3</v>
      </c>
      <c r="AQ34" s="63">
        <v>740.2</v>
      </c>
      <c r="AR34" s="63">
        <v>717.5</v>
      </c>
      <c r="AS34" s="66">
        <v>699</v>
      </c>
    </row>
    <row r="35" spans="3:45" ht="15.75" thickBot="1" x14ac:dyDescent="0.3">
      <c r="C35" s="37" t="s">
        <v>19</v>
      </c>
      <c r="D35" s="232"/>
      <c r="E35" s="232"/>
      <c r="F35" s="232"/>
      <c r="G35" s="75">
        <f t="shared" ref="G35:V35" si="29">G34*6.28*G31/60/1000</f>
        <v>233.65525</v>
      </c>
      <c r="H35" s="75">
        <f t="shared" si="29"/>
        <v>261.91786666666673</v>
      </c>
      <c r="I35" s="75">
        <f t="shared" si="29"/>
        <v>292.87826666666666</v>
      </c>
      <c r="J35" s="75">
        <f t="shared" si="29"/>
        <v>325.83780000000002</v>
      </c>
      <c r="K35" s="75">
        <f t="shared" si="29"/>
        <v>354.52954999999997</v>
      </c>
      <c r="L35" s="75">
        <f t="shared" si="29"/>
        <v>377.27100000000007</v>
      </c>
      <c r="M35" s="75">
        <f t="shared" si="29"/>
        <v>414.92745000000002</v>
      </c>
      <c r="N35" s="75">
        <f t="shared" si="29"/>
        <v>439.5215</v>
      </c>
      <c r="O35" s="75">
        <f t="shared" si="29"/>
        <v>459.07846666666666</v>
      </c>
      <c r="P35" s="75">
        <f t="shared" si="29"/>
        <v>491.66120000000001</v>
      </c>
      <c r="Q35" s="75">
        <f t="shared" si="29"/>
        <v>511.03500000000008</v>
      </c>
      <c r="R35" s="75">
        <f t="shared" si="29"/>
        <v>532.76903333333348</v>
      </c>
      <c r="S35" s="75">
        <f t="shared" si="29"/>
        <v>542.30939999999998</v>
      </c>
      <c r="T35" s="75">
        <f t="shared" si="29"/>
        <v>538.43673333333345</v>
      </c>
      <c r="U35" s="75">
        <f t="shared" si="29"/>
        <v>544.91821666666669</v>
      </c>
      <c r="V35" s="81">
        <f t="shared" si="29"/>
        <v>533.80000000000007</v>
      </c>
      <c r="Z35" s="37" t="s">
        <v>19</v>
      </c>
      <c r="AA35" s="63">
        <f t="shared" ref="AA35:AD35" si="30">AA34*6.28*AA31/60/1000</f>
        <v>166.98520000000002</v>
      </c>
      <c r="AB35" s="63">
        <f t="shared" si="30"/>
        <v>183.21376666666669</v>
      </c>
      <c r="AC35" s="63">
        <f t="shared" si="30"/>
        <v>202.28926666666666</v>
      </c>
      <c r="AD35" s="63">
        <f t="shared" si="30"/>
        <v>230.98625000000001</v>
      </c>
      <c r="AE35" s="63">
        <f t="shared" ref="AE35:AS35" si="31">AE34*6.28*AE31/60/1000</f>
        <v>263.34133333333335</v>
      </c>
      <c r="AF35" s="63">
        <f t="shared" si="31"/>
        <v>282.82503333333335</v>
      </c>
      <c r="AG35" s="63">
        <f t="shared" si="31"/>
        <v>316.2294</v>
      </c>
      <c r="AH35" s="63">
        <f t="shared" si="31"/>
        <v>344.08904999999999</v>
      </c>
      <c r="AI35" s="63">
        <f t="shared" si="31"/>
        <v>375.49166666666673</v>
      </c>
      <c r="AJ35" s="63">
        <f t="shared" si="31"/>
        <v>406.46515000000011</v>
      </c>
      <c r="AK35" s="63">
        <f t="shared" si="31"/>
        <v>437.10369999999995</v>
      </c>
      <c r="AL35" s="63">
        <f t="shared" si="31"/>
        <v>463.41166666666675</v>
      </c>
      <c r="AM35" s="63">
        <f t="shared" si="31"/>
        <v>487.20240000000007</v>
      </c>
      <c r="AN35" s="63">
        <f t="shared" si="31"/>
        <v>507.11000000000007</v>
      </c>
      <c r="AO35" s="63">
        <f t="shared" si="31"/>
        <v>523.04026666666675</v>
      </c>
      <c r="AP35" s="63">
        <f t="shared" si="31"/>
        <v>539.97794999999996</v>
      </c>
      <c r="AQ35" s="63">
        <f t="shared" si="31"/>
        <v>542.31986666666671</v>
      </c>
      <c r="AR35" s="63">
        <f t="shared" si="31"/>
        <v>544.46291666666673</v>
      </c>
      <c r="AS35" s="66">
        <f t="shared" si="31"/>
        <v>548.71500000000015</v>
      </c>
    </row>
    <row r="36" spans="3:45" ht="15.75" thickBot="1" x14ac:dyDescent="0.3">
      <c r="C36" s="41" t="s">
        <v>21</v>
      </c>
      <c r="D36" s="67" t="e">
        <f t="shared" ref="D36:V36" si="32">D32*1000/D35</f>
        <v>#DIV/0!</v>
      </c>
      <c r="E36" s="68" t="e">
        <f t="shared" si="32"/>
        <v>#DIV/0!</v>
      </c>
      <c r="F36" s="68" t="e">
        <f t="shared" si="32"/>
        <v>#DIV/0!</v>
      </c>
      <c r="G36" s="68">
        <f t="shared" si="32"/>
        <v>218.95506306834537</v>
      </c>
      <c r="H36" s="68">
        <f t="shared" si="32"/>
        <v>220.10716845586194</v>
      </c>
      <c r="I36" s="68">
        <f t="shared" si="32"/>
        <v>222.01032784041792</v>
      </c>
      <c r="J36" s="68">
        <f t="shared" si="32"/>
        <v>224.55344346174689</v>
      </c>
      <c r="K36" s="68">
        <f t="shared" si="32"/>
        <v>232.02579305448589</v>
      </c>
      <c r="L36" s="68">
        <f t="shared" si="32"/>
        <v>240.30471464809111</v>
      </c>
      <c r="M36" s="68">
        <f t="shared" si="32"/>
        <v>244.98981689449565</v>
      </c>
      <c r="N36" s="68">
        <f t="shared" si="32"/>
        <v>248.38375369578051</v>
      </c>
      <c r="O36" s="68">
        <f t="shared" si="32"/>
        <v>251.32958388958053</v>
      </c>
      <c r="P36" s="68">
        <f t="shared" si="32"/>
        <v>252.16551560302094</v>
      </c>
      <c r="Q36" s="68">
        <f t="shared" si="32"/>
        <v>250.9612844521412</v>
      </c>
      <c r="R36" s="68">
        <f t="shared" si="32"/>
        <v>253.58455831172864</v>
      </c>
      <c r="S36" s="68">
        <f t="shared" si="32"/>
        <v>253.04743012014913</v>
      </c>
      <c r="T36" s="68">
        <f t="shared" si="32"/>
        <v>253.38167244904409</v>
      </c>
      <c r="U36" s="68">
        <f t="shared" si="32"/>
        <v>254.46020294238036</v>
      </c>
      <c r="V36" s="69">
        <f t="shared" si="32"/>
        <v>258.3364556013488</v>
      </c>
      <c r="Z36" s="41" t="s">
        <v>21</v>
      </c>
      <c r="AA36" s="67">
        <f t="shared" ref="AA36:AD36" si="33">AA32*1000/AA35</f>
        <v>222.25921818221013</v>
      </c>
      <c r="AB36" s="68">
        <f t="shared" si="33"/>
        <v>218.60256862066223</v>
      </c>
      <c r="AC36" s="68">
        <f t="shared" si="33"/>
        <v>217.51030455067809</v>
      </c>
      <c r="AD36" s="68">
        <f t="shared" si="33"/>
        <v>216.49773525480413</v>
      </c>
      <c r="AE36" s="68">
        <f t="shared" ref="AE36:AS36" si="34">AE32*1000/AE35</f>
        <v>216.35798406124368</v>
      </c>
      <c r="AF36" s="68">
        <f t="shared" si="34"/>
        <v>220.09013582131047</v>
      </c>
      <c r="AG36" s="68">
        <f t="shared" si="34"/>
        <v>220.43174986259976</v>
      </c>
      <c r="AH36" s="68">
        <f t="shared" si="34"/>
        <v>224.85167720390987</v>
      </c>
      <c r="AI36" s="68">
        <f t="shared" si="34"/>
        <v>231.08102709780505</v>
      </c>
      <c r="AJ36" s="68">
        <f t="shared" si="34"/>
        <v>233.365640326114</v>
      </c>
      <c r="AK36" s="68">
        <f t="shared" si="34"/>
        <v>233.57386359346768</v>
      </c>
      <c r="AL36" s="68">
        <f t="shared" si="34"/>
        <v>235.18829550399749</v>
      </c>
      <c r="AM36" s="68">
        <f t="shared" si="34"/>
        <v>232.53374778120957</v>
      </c>
      <c r="AN36" s="68">
        <f t="shared" si="34"/>
        <v>234.89972589773419</v>
      </c>
      <c r="AO36" s="68">
        <f t="shared" si="34"/>
        <v>237.5476763803016</v>
      </c>
      <c r="AP36" s="68">
        <f t="shared" si="34"/>
        <v>239.24680628162685</v>
      </c>
      <c r="AQ36" s="68">
        <f t="shared" si="34"/>
        <v>242.20761228490244</v>
      </c>
      <c r="AR36" s="68">
        <f t="shared" si="34"/>
        <v>242.25341334082285</v>
      </c>
      <c r="AS36" s="69">
        <f t="shared" si="34"/>
        <v>245.3641690130577</v>
      </c>
    </row>
    <row r="38" spans="3:45" x14ac:dyDescent="0.25">
      <c r="X38" s="424" t="s">
        <v>130</v>
      </c>
      <c r="Y38" s="425"/>
      <c r="Z38" s="425"/>
      <c r="AA38" s="425"/>
      <c r="AB38" s="229" t="s">
        <v>131</v>
      </c>
    </row>
    <row r="39" spans="3:45" x14ac:dyDescent="0.25"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  <c r="X39" s="416" t="s">
        <v>133</v>
      </c>
      <c r="Y39" s="417"/>
      <c r="Z39" s="417"/>
      <c r="AA39" s="417"/>
      <c r="AB39" s="420" t="s">
        <v>139</v>
      </c>
      <c r="AC39" s="420"/>
      <c r="AD39" s="420"/>
      <c r="AE39" s="420"/>
      <c r="AF39" s="420"/>
      <c r="AG39" s="420"/>
    </row>
    <row r="40" spans="3:45" x14ac:dyDescent="0.25"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X40" s="421" t="s">
        <v>126</v>
      </c>
      <c r="Y40" s="422"/>
      <c r="Z40" s="369" t="s">
        <v>20</v>
      </c>
      <c r="AA40" s="370"/>
      <c r="AB40" s="370"/>
      <c r="AC40" s="370"/>
      <c r="AD40" s="370"/>
      <c r="AE40" s="370"/>
      <c r="AF40" s="32" t="s">
        <v>6</v>
      </c>
      <c r="AG40" s="359" t="s">
        <v>114</v>
      </c>
      <c r="AH40" s="359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4"/>
    </row>
    <row r="41" spans="3:45" x14ac:dyDescent="0.25"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  <c r="Z41" s="35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36"/>
    </row>
    <row r="42" spans="3:45" x14ac:dyDescent="0.25"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Z42" s="37" t="s">
        <v>1</v>
      </c>
      <c r="AA42" s="38">
        <v>3000</v>
      </c>
      <c r="AB42" s="38">
        <v>3250</v>
      </c>
      <c r="AC42" s="38">
        <v>3500</v>
      </c>
      <c r="AD42" s="38">
        <v>3750</v>
      </c>
      <c r="AE42" s="64">
        <v>4000</v>
      </c>
      <c r="AF42" s="64">
        <v>4250</v>
      </c>
      <c r="AG42" s="64">
        <v>4500</v>
      </c>
      <c r="AH42" s="64">
        <v>4750</v>
      </c>
      <c r="AI42" s="64">
        <v>5000</v>
      </c>
      <c r="AJ42" s="64">
        <v>5250</v>
      </c>
      <c r="AK42" s="64">
        <v>5500</v>
      </c>
      <c r="AL42" s="64">
        <v>5750</v>
      </c>
      <c r="AM42" s="64">
        <v>6000</v>
      </c>
      <c r="AN42" s="64">
        <v>6250</v>
      </c>
      <c r="AO42" s="64">
        <v>6500</v>
      </c>
      <c r="AP42" s="64">
        <v>6750</v>
      </c>
      <c r="AQ42" s="64">
        <v>7000</v>
      </c>
      <c r="AR42" s="64">
        <v>7250</v>
      </c>
      <c r="AS42" s="65">
        <v>7500</v>
      </c>
    </row>
    <row r="43" spans="3:45" x14ac:dyDescent="0.25"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Z43" s="37" t="s">
        <v>4</v>
      </c>
      <c r="AA43" s="230"/>
      <c r="AB43" s="230"/>
      <c r="AC43" s="230"/>
      <c r="AD43" s="230"/>
      <c r="AE43" s="63">
        <v>58.018999999999998</v>
      </c>
      <c r="AF43" s="63">
        <v>63.94</v>
      </c>
      <c r="AG43" s="63">
        <f>(69.336+70.152)/2</f>
        <v>69.744</v>
      </c>
      <c r="AH43" s="63">
        <v>79.11</v>
      </c>
      <c r="AI43" s="63">
        <v>88.828999999999994</v>
      </c>
      <c r="AJ43" s="63">
        <v>97.86</v>
      </c>
      <c r="AK43" s="63">
        <v>105.496</v>
      </c>
      <c r="AL43" s="63">
        <f>(110.897+112.091)/2</f>
        <v>111.494</v>
      </c>
      <c r="AM43" s="63">
        <v>119.038</v>
      </c>
      <c r="AN43" s="63">
        <v>123.277</v>
      </c>
      <c r="AO43" s="63">
        <v>128.50800000000001</v>
      </c>
      <c r="AP43" s="63">
        <v>132.52500000000001</v>
      </c>
      <c r="AQ43" s="63">
        <v>134.27000000000001</v>
      </c>
      <c r="AR43" s="63">
        <v>134.71</v>
      </c>
      <c r="AS43" s="66">
        <v>137.44999999999999</v>
      </c>
    </row>
    <row r="44" spans="3:45" x14ac:dyDescent="0.25"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Z44" s="37" t="s">
        <v>5</v>
      </c>
      <c r="AA44" s="230"/>
      <c r="AB44" s="230"/>
      <c r="AC44" s="230"/>
      <c r="AD44" s="230"/>
      <c r="AE44" s="78">
        <f t="shared" ref="AE44:AS44" si="35">AE43/3600</f>
        <v>1.6116388888888888E-2</v>
      </c>
      <c r="AF44" s="78">
        <f t="shared" si="35"/>
        <v>1.7761111111111109E-2</v>
      </c>
      <c r="AG44" s="78">
        <f t="shared" si="35"/>
        <v>1.9373333333333333E-2</v>
      </c>
      <c r="AH44" s="78">
        <f t="shared" si="35"/>
        <v>2.1975000000000001E-2</v>
      </c>
      <c r="AI44" s="78">
        <f t="shared" si="35"/>
        <v>2.4674722222222219E-2</v>
      </c>
      <c r="AJ44" s="78">
        <f t="shared" si="35"/>
        <v>2.7183333333333334E-2</v>
      </c>
      <c r="AK44" s="78">
        <f t="shared" si="35"/>
        <v>2.9304444444444442E-2</v>
      </c>
      <c r="AL44" s="78">
        <f t="shared" si="35"/>
        <v>3.0970555555555557E-2</v>
      </c>
      <c r="AM44" s="78">
        <f t="shared" si="35"/>
        <v>3.3066111111111109E-2</v>
      </c>
      <c r="AN44" s="78">
        <f t="shared" si="35"/>
        <v>3.4243611111111114E-2</v>
      </c>
      <c r="AO44" s="78">
        <f t="shared" si="35"/>
        <v>3.5696666666666668E-2</v>
      </c>
      <c r="AP44" s="78">
        <f t="shared" si="35"/>
        <v>3.6812500000000005E-2</v>
      </c>
      <c r="AQ44" s="78">
        <f t="shared" si="35"/>
        <v>3.7297222222222225E-2</v>
      </c>
      <c r="AR44" s="78">
        <f t="shared" si="35"/>
        <v>3.741944444444445E-2</v>
      </c>
      <c r="AS44" s="79">
        <f t="shared" si="35"/>
        <v>3.8180555555555551E-2</v>
      </c>
    </row>
    <row r="45" spans="3:45" x14ac:dyDescent="0.25">
      <c r="Z45" s="37" t="s">
        <v>18</v>
      </c>
      <c r="AA45" s="230"/>
      <c r="AB45" s="230"/>
      <c r="AC45" s="230"/>
      <c r="AD45" s="230"/>
      <c r="AE45" s="63">
        <v>620.6</v>
      </c>
      <c r="AF45" s="63">
        <v>632.1</v>
      </c>
      <c r="AG45" s="63">
        <f>(662.6+664.3)/2</f>
        <v>663.45</v>
      </c>
      <c r="AH45" s="63">
        <v>686.7</v>
      </c>
      <c r="AI45" s="63">
        <v>716.6</v>
      </c>
      <c r="AJ45" s="63">
        <v>739.2</v>
      </c>
      <c r="AK45" s="63">
        <v>757.4</v>
      </c>
      <c r="AL45" s="63">
        <f>(764.2+771.7)/2</f>
        <v>767.95</v>
      </c>
      <c r="AM45" s="63">
        <v>779.5</v>
      </c>
      <c r="AN45" s="63">
        <v>776.3</v>
      </c>
      <c r="AO45" s="63">
        <v>771</v>
      </c>
      <c r="AP45" s="63">
        <v>763.3</v>
      </c>
      <c r="AQ45" s="63">
        <v>738.4</v>
      </c>
      <c r="AR45" s="63">
        <v>716.8</v>
      </c>
      <c r="AS45" s="66">
        <v>699</v>
      </c>
    </row>
    <row r="46" spans="3:45" ht="15.75" thickBot="1" x14ac:dyDescent="0.3">
      <c r="Z46" s="37" t="s">
        <v>19</v>
      </c>
      <c r="AA46" s="230"/>
      <c r="AB46" s="230"/>
      <c r="AC46" s="230"/>
      <c r="AD46" s="230"/>
      <c r="AE46" s="63">
        <f t="shared" ref="AE46:AS46" si="36">AE45*6.28*AE42/60/1000</f>
        <v>259.82453333333336</v>
      </c>
      <c r="AF46" s="63">
        <f t="shared" si="36"/>
        <v>281.17915000000005</v>
      </c>
      <c r="AG46" s="63">
        <f t="shared" si="36"/>
        <v>312.48495000000003</v>
      </c>
      <c r="AH46" s="63">
        <f t="shared" si="36"/>
        <v>341.40435000000002</v>
      </c>
      <c r="AI46" s="63">
        <f t="shared" si="36"/>
        <v>375.02066666666673</v>
      </c>
      <c r="AJ46" s="63">
        <f t="shared" si="36"/>
        <v>406.19040000000007</v>
      </c>
      <c r="AK46" s="63">
        <f t="shared" si="36"/>
        <v>436.00993333333332</v>
      </c>
      <c r="AL46" s="63">
        <f t="shared" si="36"/>
        <v>462.17790833333339</v>
      </c>
      <c r="AM46" s="63">
        <f t="shared" si="36"/>
        <v>489.52600000000001</v>
      </c>
      <c r="AN46" s="63">
        <f t="shared" si="36"/>
        <v>507.82958333333329</v>
      </c>
      <c r="AO46" s="63">
        <f t="shared" si="36"/>
        <v>524.53700000000003</v>
      </c>
      <c r="AP46" s="63">
        <f t="shared" si="36"/>
        <v>539.27145000000007</v>
      </c>
      <c r="AQ46" s="63">
        <f t="shared" si="36"/>
        <v>541.0010666666667</v>
      </c>
      <c r="AR46" s="63">
        <f t="shared" si="36"/>
        <v>543.93173333333323</v>
      </c>
      <c r="AS46" s="66">
        <f t="shared" si="36"/>
        <v>548.71500000000015</v>
      </c>
    </row>
    <row r="47" spans="3:45" ht="15.75" thickBot="1" x14ac:dyDescent="0.3">
      <c r="Z47" s="41" t="s">
        <v>21</v>
      </c>
      <c r="AA47" s="67" t="e">
        <f t="shared" ref="AA47:AD47" si="37">AA43*1000/AA46</f>
        <v>#DIV/0!</v>
      </c>
      <c r="AB47" s="68" t="e">
        <f t="shared" si="37"/>
        <v>#DIV/0!</v>
      </c>
      <c r="AC47" s="68" t="e">
        <f t="shared" si="37"/>
        <v>#DIV/0!</v>
      </c>
      <c r="AD47" s="68" t="e">
        <f t="shared" si="37"/>
        <v>#DIV/0!</v>
      </c>
      <c r="AE47" s="68">
        <f t="shared" ref="AE47:AS47" si="38">AE43*1000/AE46</f>
        <v>223.30069934376223</v>
      </c>
      <c r="AF47" s="68">
        <f t="shared" si="38"/>
        <v>227.39950668461722</v>
      </c>
      <c r="AG47" s="68">
        <f t="shared" si="38"/>
        <v>223.19154890499524</v>
      </c>
      <c r="AH47" s="68">
        <f t="shared" si="38"/>
        <v>231.71936737185683</v>
      </c>
      <c r="AI47" s="68">
        <f t="shared" si="38"/>
        <v>236.86427947970864</v>
      </c>
      <c r="AJ47" s="68">
        <f t="shared" si="38"/>
        <v>240.92149888328228</v>
      </c>
      <c r="AK47" s="68">
        <f t="shared" si="38"/>
        <v>241.95779025829535</v>
      </c>
      <c r="AL47" s="68">
        <f t="shared" si="38"/>
        <v>241.23610841128294</v>
      </c>
      <c r="AM47" s="68">
        <f t="shared" si="38"/>
        <v>243.16992355870781</v>
      </c>
      <c r="AN47" s="68">
        <f t="shared" si="38"/>
        <v>242.75269508882164</v>
      </c>
      <c r="AO47" s="68">
        <f t="shared" si="38"/>
        <v>244.99320352997026</v>
      </c>
      <c r="AP47" s="68">
        <f t="shared" si="38"/>
        <v>245.74822197614947</v>
      </c>
      <c r="AQ47" s="68">
        <f t="shared" si="38"/>
        <v>248.1880503994077</v>
      </c>
      <c r="AR47" s="68">
        <f t="shared" si="38"/>
        <v>247.65975534184687</v>
      </c>
      <c r="AS47" s="69">
        <f t="shared" si="38"/>
        <v>250.49433676863211</v>
      </c>
    </row>
    <row r="49" spans="24:36" x14ac:dyDescent="0.25">
      <c r="X49" s="234" t="s">
        <v>130</v>
      </c>
      <c r="Y49" s="233"/>
      <c r="Z49" s="233"/>
      <c r="AA49" s="233"/>
      <c r="AB49" s="233"/>
      <c r="AC49" s="229" t="s">
        <v>131</v>
      </c>
    </row>
    <row r="50" spans="24:36" x14ac:dyDescent="0.25">
      <c r="X50" s="418" t="s">
        <v>129</v>
      </c>
      <c r="Y50" s="419"/>
      <c r="Z50" s="419"/>
      <c r="AA50" s="419"/>
      <c r="AB50" s="419"/>
      <c r="AC50" s="423" t="s">
        <v>140</v>
      </c>
      <c r="AD50" s="423"/>
      <c r="AE50" s="423"/>
      <c r="AF50" s="423"/>
      <c r="AG50" s="423"/>
      <c r="AH50" s="423"/>
    </row>
    <row r="51" spans="24:36" x14ac:dyDescent="0.25">
      <c r="X51" s="421" t="s">
        <v>127</v>
      </c>
      <c r="Y51" s="422"/>
      <c r="Z51" s="369" t="s">
        <v>138</v>
      </c>
      <c r="AA51" s="370"/>
      <c r="AB51" s="370"/>
      <c r="AC51" s="370"/>
      <c r="AD51" s="370"/>
      <c r="AE51" s="370"/>
      <c r="AF51" s="32" t="s">
        <v>6</v>
      </c>
      <c r="AG51" s="359" t="s">
        <v>114</v>
      </c>
      <c r="AH51" s="359"/>
      <c r="AI51" s="33"/>
      <c r="AJ51" s="34"/>
    </row>
    <row r="52" spans="24:36" x14ac:dyDescent="0.25">
      <c r="Z52" s="35"/>
      <c r="AA52" s="13"/>
      <c r="AB52" s="13"/>
      <c r="AC52" s="13"/>
      <c r="AD52" s="13"/>
      <c r="AE52" s="13"/>
      <c r="AF52" s="13"/>
      <c r="AG52" s="13"/>
      <c r="AH52" s="13"/>
      <c r="AI52" s="13"/>
      <c r="AJ52" s="36"/>
    </row>
    <row r="53" spans="24:36" x14ac:dyDescent="0.25">
      <c r="Z53" s="37" t="s">
        <v>1</v>
      </c>
      <c r="AA53" s="38">
        <v>3000</v>
      </c>
      <c r="AB53" s="38">
        <v>3500</v>
      </c>
      <c r="AC53" s="64">
        <v>4000</v>
      </c>
      <c r="AD53" s="64">
        <v>4500</v>
      </c>
      <c r="AE53" s="64">
        <v>5000</v>
      </c>
      <c r="AF53" s="64">
        <v>5500</v>
      </c>
      <c r="AG53" s="64">
        <v>6000</v>
      </c>
      <c r="AH53" s="64">
        <v>6500</v>
      </c>
      <c r="AI53" s="64">
        <v>7000</v>
      </c>
      <c r="AJ53" s="65">
        <v>7500</v>
      </c>
    </row>
    <row r="54" spans="24:36" x14ac:dyDescent="0.25">
      <c r="Z54" s="37" t="s">
        <v>4</v>
      </c>
      <c r="AA54" s="63">
        <v>37.969000000000001</v>
      </c>
      <c r="AB54" s="63">
        <v>43.082000000000001</v>
      </c>
      <c r="AC54" s="63">
        <v>53.392000000000003</v>
      </c>
      <c r="AD54" s="63">
        <v>66.605999999999995</v>
      </c>
      <c r="AE54" s="63">
        <v>82.272999999999996</v>
      </c>
      <c r="AF54" s="63">
        <v>99.216999999999999</v>
      </c>
      <c r="AG54" s="63">
        <v>108.503</v>
      </c>
      <c r="AH54" s="63">
        <v>119.373</v>
      </c>
      <c r="AI54" s="63">
        <v>129.31399999999999</v>
      </c>
      <c r="AJ54" s="66">
        <v>128.56</v>
      </c>
    </row>
    <row r="55" spans="24:36" x14ac:dyDescent="0.25">
      <c r="Z55" s="37" t="s">
        <v>5</v>
      </c>
      <c r="AA55" s="78">
        <f t="shared" ref="AA55" si="39">AA54/3600</f>
        <v>1.0546944444444446E-2</v>
      </c>
      <c r="AB55" s="78">
        <f>AB54/3600</f>
        <v>1.1967222222222223E-2</v>
      </c>
      <c r="AC55" s="78">
        <f t="shared" ref="AC55" si="40">AC54/3600</f>
        <v>1.4831111111111113E-2</v>
      </c>
      <c r="AD55" s="78">
        <f t="shared" ref="AD55:AJ55" si="41">AD54/3600</f>
        <v>1.8501666666666666E-2</v>
      </c>
      <c r="AE55" s="78">
        <f t="shared" si="41"/>
        <v>2.2853611111111109E-2</v>
      </c>
      <c r="AF55" s="78">
        <f t="shared" si="41"/>
        <v>2.7560277777777777E-2</v>
      </c>
      <c r="AG55" s="78">
        <f t="shared" si="41"/>
        <v>3.0139722222222221E-2</v>
      </c>
      <c r="AH55" s="78">
        <f t="shared" si="41"/>
        <v>3.315916666666667E-2</v>
      </c>
      <c r="AI55" s="78">
        <f t="shared" si="41"/>
        <v>3.5920555555555553E-2</v>
      </c>
      <c r="AJ55" s="79">
        <f t="shared" si="41"/>
        <v>3.571111111111111E-2</v>
      </c>
    </row>
    <row r="56" spans="24:36" x14ac:dyDescent="0.25">
      <c r="Z56" s="37" t="s">
        <v>18</v>
      </c>
      <c r="AA56" s="63">
        <v>543.79999999999995</v>
      </c>
      <c r="AB56" s="63">
        <v>545.1</v>
      </c>
      <c r="AC56" s="63">
        <v>590.6</v>
      </c>
      <c r="AD56" s="63">
        <v>641.4</v>
      </c>
      <c r="AE56" s="63">
        <v>686.4</v>
      </c>
      <c r="AF56" s="63">
        <v>727.6</v>
      </c>
      <c r="AG56" s="63">
        <v>733.8</v>
      </c>
      <c r="AH56" s="63">
        <v>734.4</v>
      </c>
      <c r="AI56" s="63">
        <v>726</v>
      </c>
      <c r="AJ56" s="66">
        <v>652.1</v>
      </c>
    </row>
    <row r="57" spans="24:36" ht="15.75" thickBot="1" x14ac:dyDescent="0.3">
      <c r="Z57" s="37" t="s">
        <v>19</v>
      </c>
      <c r="AA57" s="63">
        <f t="shared" ref="AA57" si="42">AA56*6.28*AA53/60/1000</f>
        <v>170.75320000000002</v>
      </c>
      <c r="AB57" s="63">
        <f t="shared" ref="AB57:AJ57" si="43">AB56*6.28*AB53/60/1000</f>
        <v>199.6883</v>
      </c>
      <c r="AC57" s="63">
        <f t="shared" si="43"/>
        <v>247.26453333333336</v>
      </c>
      <c r="AD57" s="63">
        <f t="shared" si="43"/>
        <v>302.0994</v>
      </c>
      <c r="AE57" s="63">
        <f t="shared" si="43"/>
        <v>359.21600000000001</v>
      </c>
      <c r="AF57" s="63">
        <f t="shared" si="43"/>
        <v>418.85506666666669</v>
      </c>
      <c r="AG57" s="63">
        <f t="shared" si="43"/>
        <v>460.82640000000004</v>
      </c>
      <c r="AH57" s="63">
        <f t="shared" si="43"/>
        <v>499.63679999999999</v>
      </c>
      <c r="AI57" s="63">
        <f t="shared" si="43"/>
        <v>531.91600000000005</v>
      </c>
      <c r="AJ57" s="66">
        <f t="shared" si="43"/>
        <v>511.89850000000001</v>
      </c>
    </row>
    <row r="58" spans="24:36" ht="15.75" thickBot="1" x14ac:dyDescent="0.3">
      <c r="Z58" s="41" t="s">
        <v>21</v>
      </c>
      <c r="AA58" s="67">
        <f t="shared" ref="AA58" si="44">AA54*1000/AA57</f>
        <v>222.36186496065665</v>
      </c>
      <c r="AB58" s="68">
        <f>AB54*1000/AB57</f>
        <v>215.74624051584394</v>
      </c>
      <c r="AC58" s="68">
        <f t="shared" ref="AC58" si="45">AC54*1000/AC57</f>
        <v>215.9306847619068</v>
      </c>
      <c r="AD58" s="68">
        <f t="shared" ref="AD58:AJ58" si="46">AD54*1000/AD57</f>
        <v>220.47710124548411</v>
      </c>
      <c r="AE58" s="68">
        <f t="shared" si="46"/>
        <v>229.0348982227963</v>
      </c>
      <c r="AF58" s="68">
        <f t="shared" si="46"/>
        <v>236.87668574619127</v>
      </c>
      <c r="AG58" s="68">
        <f t="shared" si="46"/>
        <v>235.45309036114247</v>
      </c>
      <c r="AH58" s="68">
        <f t="shared" si="46"/>
        <v>238.91955116196405</v>
      </c>
      <c r="AI58" s="68">
        <f t="shared" si="46"/>
        <v>243.10981433158616</v>
      </c>
      <c r="AJ58" s="69">
        <f t="shared" si="46"/>
        <v>251.14353724419976</v>
      </c>
    </row>
    <row r="60" spans="24:36" x14ac:dyDescent="0.25">
      <c r="X60" s="234" t="s">
        <v>130</v>
      </c>
      <c r="Y60" s="233"/>
      <c r="Z60" s="233"/>
      <c r="AA60" s="233"/>
      <c r="AB60" s="233"/>
      <c r="AC60" s="229" t="s">
        <v>131</v>
      </c>
    </row>
    <row r="61" spans="24:36" x14ac:dyDescent="0.25">
      <c r="X61" s="418" t="s">
        <v>129</v>
      </c>
      <c r="Y61" s="419"/>
      <c r="Z61" s="419"/>
      <c r="AA61" s="419"/>
      <c r="AB61" s="419"/>
      <c r="AC61" s="420" t="s">
        <v>141</v>
      </c>
      <c r="AD61" s="420"/>
      <c r="AE61" s="420"/>
      <c r="AF61" s="420"/>
      <c r="AG61" s="420"/>
      <c r="AH61" s="420"/>
    </row>
    <row r="62" spans="24:36" x14ac:dyDescent="0.25">
      <c r="X62" s="421" t="s">
        <v>128</v>
      </c>
      <c r="Y62" s="422"/>
      <c r="Z62" s="369" t="s">
        <v>138</v>
      </c>
      <c r="AA62" s="370"/>
      <c r="AB62" s="370"/>
      <c r="AC62" s="370"/>
      <c r="AD62" s="370"/>
      <c r="AE62" s="370"/>
      <c r="AF62" s="32" t="s">
        <v>6</v>
      </c>
      <c r="AG62" s="359" t="s">
        <v>114</v>
      </c>
      <c r="AH62" s="359"/>
      <c r="AI62" s="33"/>
      <c r="AJ62" s="34"/>
    </row>
    <row r="63" spans="24:36" x14ac:dyDescent="0.25">
      <c r="Z63" s="35"/>
      <c r="AA63" s="13"/>
      <c r="AB63" s="13"/>
      <c r="AC63" s="13"/>
      <c r="AD63" s="13"/>
      <c r="AE63" s="13"/>
      <c r="AF63" s="13"/>
      <c r="AG63" s="13"/>
      <c r="AH63" s="13"/>
      <c r="AI63" s="13"/>
      <c r="AJ63" s="36"/>
    </row>
    <row r="64" spans="24:36" x14ac:dyDescent="0.25">
      <c r="Z64" s="37" t="s">
        <v>1</v>
      </c>
      <c r="AA64" s="38">
        <v>3000</v>
      </c>
      <c r="AB64" s="38">
        <v>3500</v>
      </c>
      <c r="AC64" s="64">
        <v>4000</v>
      </c>
      <c r="AD64" s="64">
        <v>4500</v>
      </c>
      <c r="AE64" s="64">
        <v>5000</v>
      </c>
      <c r="AF64" s="64">
        <v>5500</v>
      </c>
      <c r="AG64" s="64">
        <v>6000</v>
      </c>
      <c r="AH64" s="64">
        <v>6500</v>
      </c>
      <c r="AI64" s="64">
        <v>7000</v>
      </c>
      <c r="AJ64" s="65">
        <v>7500</v>
      </c>
    </row>
    <row r="65" spans="25:46" x14ac:dyDescent="0.25">
      <c r="Z65" s="37" t="s">
        <v>4</v>
      </c>
      <c r="AA65" s="63">
        <v>36.609000000000002</v>
      </c>
      <c r="AB65" s="63">
        <v>41.661000000000001</v>
      </c>
      <c r="AC65" s="63">
        <v>51.097000000000001</v>
      </c>
      <c r="AD65" s="63">
        <v>63.823</v>
      </c>
      <c r="AE65" s="63">
        <v>78.617999999999995</v>
      </c>
      <c r="AF65" s="63">
        <v>95.159000000000006</v>
      </c>
      <c r="AG65" s="63">
        <v>105.932</v>
      </c>
      <c r="AH65" s="63">
        <v>113.502</v>
      </c>
      <c r="AI65" s="63">
        <v>122.675</v>
      </c>
      <c r="AJ65" s="66">
        <v>125.788</v>
      </c>
    </row>
    <row r="66" spans="25:46" x14ac:dyDescent="0.25">
      <c r="Z66" s="37" t="s">
        <v>5</v>
      </c>
      <c r="AA66" s="78">
        <f t="shared" ref="AA66" si="47">AA65/3600</f>
        <v>1.0169166666666667E-2</v>
      </c>
      <c r="AB66" s="78">
        <f>AB65/3600</f>
        <v>1.1572500000000001E-2</v>
      </c>
      <c r="AC66" s="78">
        <f t="shared" ref="AC66" si="48">AC65/3600</f>
        <v>1.4193611111111112E-2</v>
      </c>
      <c r="AD66" s="78">
        <f t="shared" ref="AD66:AJ66" si="49">AD65/3600</f>
        <v>1.7728611111111112E-2</v>
      </c>
      <c r="AE66" s="78">
        <f t="shared" si="49"/>
        <v>2.1838333333333331E-2</v>
      </c>
      <c r="AF66" s="78">
        <f t="shared" si="49"/>
        <v>2.6433055555555557E-2</v>
      </c>
      <c r="AG66" s="78">
        <f t="shared" si="49"/>
        <v>2.9425555555555555E-2</v>
      </c>
      <c r="AH66" s="78">
        <f t="shared" si="49"/>
        <v>3.1528333333333332E-2</v>
      </c>
      <c r="AI66" s="78">
        <f t="shared" si="49"/>
        <v>3.4076388888888885E-2</v>
      </c>
      <c r="AJ66" s="79">
        <f t="shared" si="49"/>
        <v>3.494111111111111E-2</v>
      </c>
    </row>
    <row r="67" spans="25:46" x14ac:dyDescent="0.25">
      <c r="Z67" s="37" t="s">
        <v>18</v>
      </c>
      <c r="AA67" s="63">
        <v>529.20000000000005</v>
      </c>
      <c r="AB67" s="63">
        <v>525</v>
      </c>
      <c r="AC67" s="63">
        <v>558.5</v>
      </c>
      <c r="AD67" s="63">
        <v>610.9</v>
      </c>
      <c r="AE67" s="63">
        <v>653.79999999999995</v>
      </c>
      <c r="AF67" s="63">
        <v>695.4</v>
      </c>
      <c r="AG67" s="63">
        <v>711.5</v>
      </c>
      <c r="AH67" s="63">
        <v>695.5</v>
      </c>
      <c r="AI67" s="63">
        <v>688.1</v>
      </c>
      <c r="AJ67" s="66">
        <v>638.6</v>
      </c>
    </row>
    <row r="68" spans="25:46" ht="15.75" thickBot="1" x14ac:dyDescent="0.3">
      <c r="Z68" s="37" t="s">
        <v>19</v>
      </c>
      <c r="AA68" s="63">
        <f t="shared" ref="AA68" si="50">AA67*6.28*AA64/60/1000</f>
        <v>166.16879999999998</v>
      </c>
      <c r="AB68" s="63">
        <f t="shared" ref="AB68:AJ68" si="51">AB67*6.28*AB64/60/1000</f>
        <v>192.32499999999999</v>
      </c>
      <c r="AC68" s="63">
        <f t="shared" si="51"/>
        <v>233.82533333333333</v>
      </c>
      <c r="AD68" s="63">
        <f t="shared" si="51"/>
        <v>287.73390000000001</v>
      </c>
      <c r="AE68" s="63">
        <f t="shared" si="51"/>
        <v>342.15533333333326</v>
      </c>
      <c r="AF68" s="63">
        <f t="shared" si="51"/>
        <v>400.3186</v>
      </c>
      <c r="AG68" s="63">
        <f t="shared" si="51"/>
        <v>446.822</v>
      </c>
      <c r="AH68" s="63">
        <f t="shared" si="51"/>
        <v>473.17183333333332</v>
      </c>
      <c r="AI68" s="63">
        <f t="shared" si="51"/>
        <v>504.14793333333336</v>
      </c>
      <c r="AJ68" s="66">
        <f t="shared" si="51"/>
        <v>501.30100000000004</v>
      </c>
    </row>
    <row r="69" spans="25:46" ht="15.75" thickBot="1" x14ac:dyDescent="0.3">
      <c r="Z69" s="41" t="s">
        <v>21</v>
      </c>
      <c r="AA69" s="67">
        <f t="shared" ref="AA69" si="52">AA65*1000/AA68</f>
        <v>220.31211635397261</v>
      </c>
      <c r="AB69" s="68">
        <f>AB65*1000/AB68</f>
        <v>216.61770440660342</v>
      </c>
      <c r="AC69" s="68">
        <f t="shared" ref="AC69" si="53">AC65*1000/AC68</f>
        <v>218.52636440876097</v>
      </c>
      <c r="AD69" s="68">
        <f t="shared" ref="AD69:AJ69" si="54">AD65*1000/AD68</f>
        <v>221.81258447475253</v>
      </c>
      <c r="AE69" s="68">
        <f t="shared" si="54"/>
        <v>229.77283222240197</v>
      </c>
      <c r="AF69" s="68">
        <f t="shared" si="54"/>
        <v>237.70816544622207</v>
      </c>
      <c r="AG69" s="68">
        <f t="shared" si="54"/>
        <v>237.07874724163091</v>
      </c>
      <c r="AH69" s="68">
        <f t="shared" si="54"/>
        <v>239.87480235333817</v>
      </c>
      <c r="AI69" s="68">
        <f t="shared" si="54"/>
        <v>243.33135551879678</v>
      </c>
      <c r="AJ69" s="69">
        <f t="shared" si="54"/>
        <v>250.92309809874703</v>
      </c>
    </row>
    <row r="73" spans="25:46" x14ac:dyDescent="0.25">
      <c r="Y73" s="445" t="s">
        <v>146</v>
      </c>
      <c r="Z73" s="445"/>
      <c r="AA73" s="445"/>
      <c r="AB73" s="445"/>
      <c r="AC73" s="445"/>
    </row>
    <row r="74" spans="25:46" ht="15.75" thickBot="1" x14ac:dyDescent="0.3"/>
    <row r="75" spans="25:46" ht="15.75" thickBot="1" x14ac:dyDescent="0.3">
      <c r="Z75" s="255" t="s">
        <v>145</v>
      </c>
      <c r="AA75" s="251">
        <v>0</v>
      </c>
      <c r="AB75" s="252">
        <v>3000</v>
      </c>
      <c r="AC75" s="252">
        <v>3250</v>
      </c>
      <c r="AD75" s="252">
        <v>3500</v>
      </c>
      <c r="AE75" s="252">
        <v>3750</v>
      </c>
      <c r="AF75" s="256">
        <v>4000</v>
      </c>
      <c r="AG75" s="256">
        <v>4250</v>
      </c>
      <c r="AH75" s="256">
        <v>4500</v>
      </c>
      <c r="AI75" s="256">
        <v>4750</v>
      </c>
      <c r="AJ75" s="256">
        <v>5000</v>
      </c>
      <c r="AK75" s="256">
        <v>5250</v>
      </c>
      <c r="AL75" s="256">
        <v>5500</v>
      </c>
      <c r="AM75" s="256">
        <v>5750</v>
      </c>
      <c r="AN75" s="256">
        <v>6000</v>
      </c>
      <c r="AO75" s="256">
        <v>6250</v>
      </c>
      <c r="AP75" s="256">
        <v>6500</v>
      </c>
      <c r="AQ75" s="256">
        <v>6750</v>
      </c>
      <c r="AR75" s="256">
        <v>7000</v>
      </c>
      <c r="AS75" s="256">
        <v>7250</v>
      </c>
      <c r="AT75" s="257">
        <v>7500</v>
      </c>
    </row>
    <row r="76" spans="25:46" ht="15.75" thickBot="1" x14ac:dyDescent="0.3">
      <c r="Z76" s="255" t="s">
        <v>9</v>
      </c>
      <c r="AA76" s="101">
        <v>0</v>
      </c>
      <c r="AB76" s="30">
        <v>222.25921818221013</v>
      </c>
      <c r="AC76" s="30">
        <v>218.60256862066223</v>
      </c>
      <c r="AD76" s="30">
        <v>217.51030455067809</v>
      </c>
      <c r="AE76" s="30">
        <v>216.49773525480413</v>
      </c>
      <c r="AF76" s="30">
        <v>216.35798406124368</v>
      </c>
      <c r="AG76" s="30">
        <v>220.09013582131047</v>
      </c>
      <c r="AH76" s="30">
        <v>220.43174986259976</v>
      </c>
      <c r="AI76" s="30">
        <v>224.85167720390987</v>
      </c>
      <c r="AJ76" s="30">
        <v>231.08102709780505</v>
      </c>
      <c r="AK76" s="30">
        <v>233.365640326114</v>
      </c>
      <c r="AL76" s="30">
        <v>233.57386359346768</v>
      </c>
      <c r="AM76" s="30">
        <v>235.18829550399749</v>
      </c>
      <c r="AN76" s="30">
        <v>232.53374778120957</v>
      </c>
      <c r="AO76" s="30">
        <v>234.89972589773419</v>
      </c>
      <c r="AP76" s="30">
        <v>237.5476763803016</v>
      </c>
      <c r="AQ76" s="30">
        <v>239.24680628162685</v>
      </c>
      <c r="AR76" s="30">
        <v>242.20761228490244</v>
      </c>
      <c r="AS76" s="30">
        <v>242.25341334082285</v>
      </c>
      <c r="AT76" s="31">
        <v>245.3641690130577</v>
      </c>
    </row>
    <row r="78" spans="25:46" x14ac:dyDescent="0.25">
      <c r="Y78" s="446" t="s">
        <v>160</v>
      </c>
      <c r="Z78" s="446"/>
      <c r="AA78" s="446"/>
      <c r="AB78" s="446"/>
      <c r="AC78" s="446"/>
    </row>
    <row r="79" spans="25:46" ht="15.75" thickBot="1" x14ac:dyDescent="0.3"/>
    <row r="80" spans="25:46" ht="15.75" thickBot="1" x14ac:dyDescent="0.3">
      <c r="AA80" s="98">
        <v>3000</v>
      </c>
      <c r="AB80" s="99">
        <v>3500</v>
      </c>
      <c r="AC80" s="289">
        <v>4000</v>
      </c>
      <c r="AD80" s="289">
        <v>4500</v>
      </c>
      <c r="AE80" s="289">
        <v>5000</v>
      </c>
      <c r="AF80" s="289">
        <v>5500</v>
      </c>
      <c r="AG80" s="289">
        <v>6000</v>
      </c>
      <c r="AH80" s="289">
        <v>6500</v>
      </c>
      <c r="AI80" s="289">
        <v>7000</v>
      </c>
      <c r="AJ80" s="290">
        <v>7500</v>
      </c>
    </row>
    <row r="81" spans="26:36" x14ac:dyDescent="0.25">
      <c r="Z81" s="286">
        <v>0.33</v>
      </c>
      <c r="AA81" s="291">
        <f>AA13</f>
        <v>270.86864644081209</v>
      </c>
      <c r="AB81" s="292">
        <f t="shared" ref="AB81:AJ81" si="55">AB13</f>
        <v>259.53843929327263</v>
      </c>
      <c r="AC81" s="203">
        <f t="shared" si="55"/>
        <v>259.10921693518168</v>
      </c>
      <c r="AD81" s="203">
        <f t="shared" si="55"/>
        <v>270.44223753969635</v>
      </c>
      <c r="AE81" s="203">
        <f t="shared" si="55"/>
        <v>293.1580028765153</v>
      </c>
      <c r="AF81" s="203">
        <f t="shared" si="55"/>
        <v>298.29183555298204</v>
      </c>
      <c r="AG81" s="203">
        <f t="shared" si="55"/>
        <v>282.71591195090315</v>
      </c>
      <c r="AH81" s="203">
        <f t="shared" si="55"/>
        <v>280.33616144019533</v>
      </c>
      <c r="AI81" s="203">
        <f t="shared" si="55"/>
        <v>288.53897873693126</v>
      </c>
      <c r="AJ81" s="204">
        <f t="shared" si="55"/>
        <v>298.79952849698071</v>
      </c>
    </row>
    <row r="82" spans="26:36" x14ac:dyDescent="0.25">
      <c r="Z82" s="287">
        <v>0.66</v>
      </c>
      <c r="AA82" s="293">
        <f>AA24</f>
        <v>230.7590650698715</v>
      </c>
      <c r="AB82" s="285">
        <f t="shared" ref="AB82:AJ82" si="56">AB24</f>
        <v>227.94031514588943</v>
      </c>
      <c r="AC82" s="206">
        <f t="shared" si="56"/>
        <v>226.53329351043331</v>
      </c>
      <c r="AD82" s="206">
        <f t="shared" si="56"/>
        <v>254.14468882696386</v>
      </c>
      <c r="AE82" s="206">
        <f t="shared" si="56"/>
        <v>250.31459716496659</v>
      </c>
      <c r="AF82" s="206">
        <f t="shared" si="56"/>
        <v>252.96262534184137</v>
      </c>
      <c r="AG82" s="206">
        <f t="shared" si="56"/>
        <v>252.45047680054145</v>
      </c>
      <c r="AH82" s="206">
        <f t="shared" si="56"/>
        <v>251.75010688401045</v>
      </c>
      <c r="AI82" s="206">
        <f t="shared" si="56"/>
        <v>260.73828844727808</v>
      </c>
      <c r="AJ82" s="207">
        <f t="shared" si="56"/>
        <v>263.15266153135286</v>
      </c>
    </row>
    <row r="83" spans="26:36" ht="15.75" thickBot="1" x14ac:dyDescent="0.3">
      <c r="Z83" s="288">
        <v>1</v>
      </c>
      <c r="AA83" s="294">
        <f>AA36</f>
        <v>222.25921818221013</v>
      </c>
      <c r="AB83" s="295">
        <f>AC36</f>
        <v>217.51030455067809</v>
      </c>
      <c r="AC83" s="200">
        <f>AE36</f>
        <v>216.35798406124368</v>
      </c>
      <c r="AD83" s="200">
        <f>AG36</f>
        <v>220.43174986259976</v>
      </c>
      <c r="AE83" s="200">
        <f>AI36</f>
        <v>231.08102709780505</v>
      </c>
      <c r="AF83" s="200">
        <f>AK36</f>
        <v>233.57386359346768</v>
      </c>
      <c r="AG83" s="200">
        <f>AM36</f>
        <v>232.53374778120957</v>
      </c>
      <c r="AH83" s="200">
        <f>AO36</f>
        <v>237.5476763803016</v>
      </c>
      <c r="AI83" s="200">
        <f>AQ36</f>
        <v>242.20761228490244</v>
      </c>
      <c r="AJ83" s="201">
        <f>AS36</f>
        <v>245.3641690130577</v>
      </c>
    </row>
    <row r="102" spans="1:21" x14ac:dyDescent="0.25">
      <c r="A102" s="440" t="s">
        <v>124</v>
      </c>
      <c r="B102" s="441"/>
      <c r="C102" s="238" t="s">
        <v>12</v>
      </c>
      <c r="D102" s="239"/>
      <c r="E102" s="32" t="s">
        <v>113</v>
      </c>
      <c r="F102" s="224" t="s">
        <v>114</v>
      </c>
      <c r="G102" s="33"/>
      <c r="H102" s="33"/>
      <c r="I102" s="33"/>
      <c r="J102" s="33"/>
      <c r="K102" s="34"/>
      <c r="M102" s="445" t="s">
        <v>143</v>
      </c>
      <c r="N102" s="445"/>
      <c r="O102" s="445"/>
      <c r="P102" s="445"/>
    </row>
    <row r="103" spans="1:21" x14ac:dyDescent="0.25">
      <c r="C103" s="35"/>
      <c r="D103" s="13"/>
      <c r="E103" s="13"/>
      <c r="F103" s="13"/>
      <c r="G103" s="13"/>
      <c r="H103" s="13"/>
      <c r="I103" s="13"/>
      <c r="J103" s="13"/>
      <c r="K103" s="36"/>
    </row>
    <row r="104" spans="1:21" x14ac:dyDescent="0.25">
      <c r="C104" s="37" t="s">
        <v>1</v>
      </c>
      <c r="D104" s="27">
        <v>4000</v>
      </c>
      <c r="E104" s="27">
        <v>4500</v>
      </c>
      <c r="F104" s="27">
        <v>5000</v>
      </c>
      <c r="G104" s="27">
        <v>5500</v>
      </c>
      <c r="H104" s="27">
        <v>6000</v>
      </c>
      <c r="I104" s="27">
        <v>6500</v>
      </c>
      <c r="J104" s="27">
        <v>7000</v>
      </c>
      <c r="K104" s="42">
        <v>7500</v>
      </c>
      <c r="N104" s="242">
        <v>4000</v>
      </c>
      <c r="O104" s="243">
        <v>4500</v>
      </c>
      <c r="P104" s="243">
        <v>5000</v>
      </c>
      <c r="Q104" s="243">
        <v>5500</v>
      </c>
      <c r="R104" s="243">
        <v>6000</v>
      </c>
      <c r="S104" s="243">
        <v>6500</v>
      </c>
      <c r="T104" s="243">
        <v>7000</v>
      </c>
      <c r="U104" s="244">
        <v>7500</v>
      </c>
    </row>
    <row r="105" spans="1:21" x14ac:dyDescent="0.25">
      <c r="C105" s="37" t="s">
        <v>4</v>
      </c>
      <c r="D105" s="73">
        <v>21.98</v>
      </c>
      <c r="E105" s="73">
        <v>28.53</v>
      </c>
      <c r="F105" s="73">
        <v>35.61</v>
      </c>
      <c r="G105" s="73">
        <v>41.18</v>
      </c>
      <c r="H105" s="73">
        <v>46.8</v>
      </c>
      <c r="I105" s="73">
        <v>50.863999999999997</v>
      </c>
      <c r="J105" s="73">
        <v>54.09</v>
      </c>
      <c r="K105" s="74">
        <v>57.92</v>
      </c>
      <c r="M105" s="240">
        <v>0.33</v>
      </c>
      <c r="N105" s="245">
        <v>21.98</v>
      </c>
      <c r="O105" s="246">
        <v>28.53</v>
      </c>
      <c r="P105" s="246">
        <v>35.61</v>
      </c>
      <c r="Q105" s="246">
        <v>41.18</v>
      </c>
      <c r="R105" s="246">
        <v>46.8</v>
      </c>
      <c r="S105" s="246">
        <v>50.863999999999997</v>
      </c>
      <c r="T105" s="246">
        <v>54.09</v>
      </c>
      <c r="U105" s="247">
        <v>57.92</v>
      </c>
    </row>
    <row r="106" spans="1:21" x14ac:dyDescent="0.25">
      <c r="C106" s="37" t="s">
        <v>5</v>
      </c>
      <c r="D106" s="76">
        <f t="shared" ref="D106" si="57">D105/3600</f>
        <v>6.1055555555555559E-3</v>
      </c>
      <c r="E106" s="76">
        <f t="shared" ref="E106" si="58">E105/3600</f>
        <v>7.9249999999999998E-3</v>
      </c>
      <c r="F106" s="76">
        <f t="shared" ref="F106:K106" si="59">F105/3600</f>
        <v>9.8916666666666667E-3</v>
      </c>
      <c r="G106" s="76">
        <f t="shared" si="59"/>
        <v>1.1438888888888889E-2</v>
      </c>
      <c r="H106" s="76">
        <f t="shared" si="59"/>
        <v>1.2999999999999999E-2</v>
      </c>
      <c r="I106" s="76">
        <f t="shared" si="59"/>
        <v>1.4128888888888889E-2</v>
      </c>
      <c r="J106" s="76">
        <f t="shared" si="59"/>
        <v>1.5025E-2</v>
      </c>
      <c r="K106" s="80">
        <f t="shared" si="59"/>
        <v>1.6088888888888889E-2</v>
      </c>
      <c r="M106" s="241">
        <v>1</v>
      </c>
      <c r="N106" s="248">
        <v>57.65</v>
      </c>
      <c r="O106" s="249">
        <v>73.168000000000006</v>
      </c>
      <c r="P106" s="249">
        <v>90.66</v>
      </c>
      <c r="Q106" s="249">
        <v>109.17</v>
      </c>
      <c r="R106" s="249">
        <v>123.98</v>
      </c>
      <c r="S106" s="249">
        <v>135.102</v>
      </c>
      <c r="T106" s="249">
        <v>136.43</v>
      </c>
      <c r="U106" s="250">
        <v>137.9</v>
      </c>
    </row>
    <row r="107" spans="1:21" x14ac:dyDescent="0.25">
      <c r="C107" s="37" t="s">
        <v>18</v>
      </c>
      <c r="D107" s="73">
        <v>201.9</v>
      </c>
      <c r="E107" s="73">
        <v>222.8</v>
      </c>
      <c r="F107" s="73">
        <v>232.4</v>
      </c>
      <c r="G107" s="73">
        <v>239.5</v>
      </c>
      <c r="H107" s="73">
        <v>262.8</v>
      </c>
      <c r="I107" s="73">
        <v>265.5</v>
      </c>
      <c r="J107" s="73">
        <v>256</v>
      </c>
      <c r="K107" s="74">
        <v>246.7</v>
      </c>
    </row>
    <row r="108" spans="1:21" ht="15.75" thickBot="1" x14ac:dyDescent="0.3">
      <c r="C108" s="37" t="s">
        <v>19</v>
      </c>
      <c r="D108" s="75">
        <f t="shared" ref="D108" si="60">D107*6.28*D104/60/1000</f>
        <v>84.528800000000004</v>
      </c>
      <c r="E108" s="75">
        <f t="shared" ref="E108" si="61">E107*6.28*E104/60/1000</f>
        <v>104.93880000000001</v>
      </c>
      <c r="F108" s="75">
        <f t="shared" ref="F108:K108" si="62">F107*6.28*F104/60/1000</f>
        <v>121.62266666666667</v>
      </c>
      <c r="G108" s="75">
        <f t="shared" si="62"/>
        <v>137.87216666666669</v>
      </c>
      <c r="H108" s="75">
        <f t="shared" si="62"/>
        <v>165.03840000000002</v>
      </c>
      <c r="I108" s="75">
        <f t="shared" si="62"/>
        <v>180.62850000000003</v>
      </c>
      <c r="J108" s="75">
        <f t="shared" si="62"/>
        <v>187.56266666666664</v>
      </c>
      <c r="K108" s="81">
        <f t="shared" si="62"/>
        <v>193.65950000000001</v>
      </c>
      <c r="M108" s="446" t="s">
        <v>159</v>
      </c>
      <c r="N108" s="446"/>
      <c r="O108" s="446"/>
      <c r="P108" s="446"/>
    </row>
    <row r="109" spans="1:21" ht="15.75" thickBot="1" x14ac:dyDescent="0.3">
      <c r="C109" s="41" t="s">
        <v>21</v>
      </c>
      <c r="D109" s="68">
        <f t="shared" ref="D109:K109" si="63">D105*1000/D108</f>
        <v>260.02971768202082</v>
      </c>
      <c r="E109" s="68">
        <f t="shared" si="63"/>
        <v>271.87274868780656</v>
      </c>
      <c r="F109" s="68">
        <f t="shared" si="63"/>
        <v>292.79081750112368</v>
      </c>
      <c r="G109" s="68">
        <f t="shared" si="63"/>
        <v>298.68247519139101</v>
      </c>
      <c r="H109" s="68">
        <f t="shared" si="63"/>
        <v>283.57036907774187</v>
      </c>
      <c r="I109" s="68">
        <f t="shared" si="63"/>
        <v>281.59454349673496</v>
      </c>
      <c r="J109" s="68">
        <f t="shared" si="63"/>
        <v>288.38361578707918</v>
      </c>
      <c r="K109" s="69">
        <f t="shared" si="63"/>
        <v>299.08163555105739</v>
      </c>
    </row>
    <row r="110" spans="1:21" x14ac:dyDescent="0.25">
      <c r="N110" s="242">
        <v>4000</v>
      </c>
      <c r="O110" s="243">
        <v>4500</v>
      </c>
      <c r="P110" s="243">
        <v>5000</v>
      </c>
      <c r="Q110" s="243">
        <v>5500</v>
      </c>
      <c r="R110" s="243">
        <v>6000</v>
      </c>
      <c r="S110" s="243">
        <v>6500</v>
      </c>
      <c r="T110" s="243">
        <v>7000</v>
      </c>
      <c r="U110" s="244">
        <v>7500</v>
      </c>
    </row>
    <row r="111" spans="1:21" x14ac:dyDescent="0.25">
      <c r="A111" s="421" t="s">
        <v>126</v>
      </c>
      <c r="B111" s="422"/>
      <c r="C111" s="238" t="s">
        <v>12</v>
      </c>
      <c r="D111" s="239"/>
      <c r="E111" s="32" t="s">
        <v>6</v>
      </c>
      <c r="F111" s="224" t="s">
        <v>114</v>
      </c>
      <c r="G111" s="33"/>
      <c r="H111" s="33"/>
      <c r="I111" s="33"/>
      <c r="J111" s="33"/>
      <c r="K111" s="34"/>
      <c r="M111" s="240">
        <v>0.33</v>
      </c>
      <c r="N111" s="245">
        <v>260.02971768202082</v>
      </c>
      <c r="O111" s="246">
        <v>271.87274868780656</v>
      </c>
      <c r="P111" s="246">
        <v>292.79081750112368</v>
      </c>
      <c r="Q111" s="246">
        <v>298.68247519139101</v>
      </c>
      <c r="R111" s="246">
        <v>283.57036907774187</v>
      </c>
      <c r="S111" s="246">
        <v>281.59454349673496</v>
      </c>
      <c r="T111" s="246">
        <v>288.38361578707918</v>
      </c>
      <c r="U111" s="247">
        <v>299.08163555105739</v>
      </c>
    </row>
    <row r="112" spans="1:21" x14ac:dyDescent="0.25">
      <c r="C112" s="35"/>
      <c r="D112" s="13"/>
      <c r="E112" s="13"/>
      <c r="F112" s="13"/>
      <c r="G112" s="13"/>
      <c r="H112" s="13"/>
      <c r="I112" s="13"/>
      <c r="J112" s="13"/>
      <c r="K112" s="36"/>
      <c r="M112" s="241">
        <v>1</v>
      </c>
      <c r="N112" s="248">
        <v>220.10716845586194</v>
      </c>
      <c r="O112" s="249">
        <v>224.55344346174689</v>
      </c>
      <c r="P112" s="249">
        <v>240.30471464809111</v>
      </c>
      <c r="Q112" s="249">
        <v>248.38375369578051</v>
      </c>
      <c r="R112" s="249">
        <v>252.16551560302094</v>
      </c>
      <c r="S112" s="249">
        <v>253.58455831172864</v>
      </c>
      <c r="T112" s="249">
        <v>253.38167244904409</v>
      </c>
      <c r="U112" s="250">
        <v>258.3364556013488</v>
      </c>
    </row>
    <row r="113" spans="1:20" x14ac:dyDescent="0.25">
      <c r="C113" s="37" t="s">
        <v>1</v>
      </c>
      <c r="D113" s="27">
        <v>4000</v>
      </c>
      <c r="E113" s="27">
        <v>4500</v>
      </c>
      <c r="F113" s="27">
        <v>5000</v>
      </c>
      <c r="G113" s="27">
        <v>5500</v>
      </c>
      <c r="H113" s="27">
        <v>6000</v>
      </c>
      <c r="I113" s="27">
        <v>6500</v>
      </c>
      <c r="J113" s="27">
        <v>7000</v>
      </c>
      <c r="K113" s="42">
        <v>7500</v>
      </c>
    </row>
    <row r="114" spans="1:20" x14ac:dyDescent="0.25">
      <c r="C114" s="37" t="s">
        <v>4</v>
      </c>
      <c r="D114" s="73">
        <v>57.65</v>
      </c>
      <c r="E114" s="73">
        <v>73.168000000000006</v>
      </c>
      <c r="F114" s="73">
        <v>90.66</v>
      </c>
      <c r="G114" s="73">
        <v>109.17</v>
      </c>
      <c r="H114" s="73">
        <v>123.98</v>
      </c>
      <c r="I114" s="73">
        <v>135.102</v>
      </c>
      <c r="J114" s="73">
        <v>136.43</v>
      </c>
      <c r="K114" s="74">
        <v>137.9</v>
      </c>
    </row>
    <row r="115" spans="1:20" x14ac:dyDescent="0.25">
      <c r="C115" s="37" t="s">
        <v>5</v>
      </c>
      <c r="D115" s="76">
        <f t="shared" ref="D115:K115" si="64">D114/3600</f>
        <v>1.601388888888889E-2</v>
      </c>
      <c r="E115" s="76">
        <f t="shared" si="64"/>
        <v>2.0324444444444447E-2</v>
      </c>
      <c r="F115" s="76">
        <f t="shared" si="64"/>
        <v>2.5183333333333332E-2</v>
      </c>
      <c r="G115" s="76">
        <f t="shared" si="64"/>
        <v>3.0325000000000001E-2</v>
      </c>
      <c r="H115" s="76">
        <f t="shared" si="64"/>
        <v>3.4438888888888887E-2</v>
      </c>
      <c r="I115" s="76">
        <f t="shared" si="64"/>
        <v>3.7528333333333337E-2</v>
      </c>
      <c r="J115" s="76">
        <f t="shared" si="64"/>
        <v>3.7897222222222221E-2</v>
      </c>
      <c r="K115" s="80">
        <f t="shared" si="64"/>
        <v>3.8305555555555558E-2</v>
      </c>
    </row>
    <row r="116" spans="1:20" x14ac:dyDescent="0.25">
      <c r="C116" s="37" t="s">
        <v>18</v>
      </c>
      <c r="D116" s="73">
        <v>625.6</v>
      </c>
      <c r="E116" s="73">
        <v>691.8</v>
      </c>
      <c r="F116" s="73">
        <v>720.9</v>
      </c>
      <c r="G116" s="73">
        <v>763.5</v>
      </c>
      <c r="H116" s="73">
        <v>782.9</v>
      </c>
      <c r="I116" s="73">
        <v>783.1</v>
      </c>
      <c r="J116" s="73">
        <v>734.9</v>
      </c>
      <c r="K116" s="74">
        <v>680</v>
      </c>
    </row>
    <row r="117" spans="1:20" ht="15.75" thickBot="1" x14ac:dyDescent="0.3">
      <c r="C117" s="37" t="s">
        <v>19</v>
      </c>
      <c r="D117" s="75">
        <f t="shared" ref="D117:K117" si="65">D116*6.28*D113/60/1000</f>
        <v>261.91786666666673</v>
      </c>
      <c r="E117" s="75">
        <f t="shared" si="65"/>
        <v>325.83780000000002</v>
      </c>
      <c r="F117" s="75">
        <f t="shared" si="65"/>
        <v>377.27100000000007</v>
      </c>
      <c r="G117" s="75">
        <f t="shared" si="65"/>
        <v>439.5215</v>
      </c>
      <c r="H117" s="75">
        <f t="shared" si="65"/>
        <v>491.66120000000001</v>
      </c>
      <c r="I117" s="75">
        <f t="shared" si="65"/>
        <v>532.76903333333348</v>
      </c>
      <c r="J117" s="75">
        <f t="shared" si="65"/>
        <v>538.43673333333345</v>
      </c>
      <c r="K117" s="81">
        <f t="shared" si="65"/>
        <v>533.80000000000007</v>
      </c>
    </row>
    <row r="118" spans="1:20" ht="15.75" thickBot="1" x14ac:dyDescent="0.3">
      <c r="C118" s="41" t="s">
        <v>21</v>
      </c>
      <c r="D118" s="68">
        <f t="shared" ref="D118:K118" si="66">D114*1000/D117</f>
        <v>220.10716845586194</v>
      </c>
      <c r="E118" s="68">
        <f t="shared" si="66"/>
        <v>224.55344346174689</v>
      </c>
      <c r="F118" s="68">
        <f t="shared" si="66"/>
        <v>240.30471464809111</v>
      </c>
      <c r="G118" s="68">
        <f t="shared" si="66"/>
        <v>248.38375369578051</v>
      </c>
      <c r="H118" s="68">
        <f t="shared" si="66"/>
        <v>252.16551560302094</v>
      </c>
      <c r="I118" s="68">
        <f t="shared" si="66"/>
        <v>253.58455831172864</v>
      </c>
      <c r="J118" s="68">
        <f t="shared" si="66"/>
        <v>253.38167244904409</v>
      </c>
      <c r="K118" s="69">
        <f t="shared" si="66"/>
        <v>258.3364556013488</v>
      </c>
    </row>
    <row r="122" spans="1:20" x14ac:dyDescent="0.25">
      <c r="A122" s="445" t="s">
        <v>144</v>
      </c>
      <c r="B122" s="445"/>
      <c r="C122" s="445"/>
      <c r="D122" s="445"/>
      <c r="E122" s="445"/>
    </row>
    <row r="123" spans="1:20" ht="15.75" thickBot="1" x14ac:dyDescent="0.3"/>
    <row r="124" spans="1:20" ht="15.75" thickBot="1" x14ac:dyDescent="0.3">
      <c r="C124" s="255" t="s">
        <v>145</v>
      </c>
      <c r="D124" s="251">
        <v>0</v>
      </c>
      <c r="E124" s="252">
        <v>3750</v>
      </c>
      <c r="F124" s="253">
        <v>4000</v>
      </c>
      <c r="G124" s="253">
        <v>4250</v>
      </c>
      <c r="H124" s="253">
        <v>4500</v>
      </c>
      <c r="I124" s="253">
        <v>4750</v>
      </c>
      <c r="J124" s="253">
        <v>5000</v>
      </c>
      <c r="K124" s="253">
        <v>5250</v>
      </c>
      <c r="L124" s="253">
        <v>5500</v>
      </c>
      <c r="M124" s="253">
        <v>5750</v>
      </c>
      <c r="N124" s="253">
        <v>6000</v>
      </c>
      <c r="O124" s="253">
        <v>6250</v>
      </c>
      <c r="P124" s="253">
        <v>6500</v>
      </c>
      <c r="Q124" s="253">
        <v>6750</v>
      </c>
      <c r="R124" s="253">
        <v>7000</v>
      </c>
      <c r="S124" s="253">
        <v>7250</v>
      </c>
      <c r="T124" s="254">
        <v>7500</v>
      </c>
    </row>
    <row r="125" spans="1:20" ht="15.75" thickBot="1" x14ac:dyDescent="0.3">
      <c r="C125" s="255" t="s">
        <v>9</v>
      </c>
      <c r="D125" s="101">
        <v>0</v>
      </c>
      <c r="E125" s="30">
        <v>218.95506306834537</v>
      </c>
      <c r="F125" s="30">
        <v>220.10716845586194</v>
      </c>
      <c r="G125" s="30">
        <v>222.01032784041792</v>
      </c>
      <c r="H125" s="30">
        <v>224.55344346174689</v>
      </c>
      <c r="I125" s="30">
        <v>232.02579305448589</v>
      </c>
      <c r="J125" s="30">
        <v>240.30471464809111</v>
      </c>
      <c r="K125" s="30">
        <v>244.98981689449565</v>
      </c>
      <c r="L125" s="30">
        <v>248.38375369578051</v>
      </c>
      <c r="M125" s="30">
        <v>251.32958388958053</v>
      </c>
      <c r="N125" s="30">
        <v>252.16551560302094</v>
      </c>
      <c r="O125" s="30">
        <v>250.9612844521412</v>
      </c>
      <c r="P125" s="30">
        <v>253.58455831172864</v>
      </c>
      <c r="Q125" s="30">
        <v>253.04743012014913</v>
      </c>
      <c r="R125" s="30">
        <v>253.38167244904409</v>
      </c>
      <c r="S125" s="30">
        <v>254.46020294238036</v>
      </c>
      <c r="T125" s="31">
        <v>258.3364556013488</v>
      </c>
    </row>
  </sheetData>
  <mergeCells count="61">
    <mergeCell ref="M102:P102"/>
    <mergeCell ref="A122:E122"/>
    <mergeCell ref="Y73:AC73"/>
    <mergeCell ref="M108:P108"/>
    <mergeCell ref="Y78:AC78"/>
    <mergeCell ref="A102:B102"/>
    <mergeCell ref="A111:B111"/>
    <mergeCell ref="A1:W2"/>
    <mergeCell ref="X1:AT2"/>
    <mergeCell ref="AG6:AH6"/>
    <mergeCell ref="Z17:AE17"/>
    <mergeCell ref="AG17:AH17"/>
    <mergeCell ref="C6:H6"/>
    <mergeCell ref="J6:K6"/>
    <mergeCell ref="C17:H17"/>
    <mergeCell ref="J17:K17"/>
    <mergeCell ref="Z6:AE6"/>
    <mergeCell ref="A6:B6"/>
    <mergeCell ref="A17:B17"/>
    <mergeCell ref="A4:D4"/>
    <mergeCell ref="X4:AA4"/>
    <mergeCell ref="X6:Y6"/>
    <mergeCell ref="X17:Y17"/>
    <mergeCell ref="AB28:AH28"/>
    <mergeCell ref="AG29:AH29"/>
    <mergeCell ref="A29:B29"/>
    <mergeCell ref="C29:H29"/>
    <mergeCell ref="J29:K29"/>
    <mergeCell ref="A28:D28"/>
    <mergeCell ref="E28:J28"/>
    <mergeCell ref="X29:Y29"/>
    <mergeCell ref="X38:AA38"/>
    <mergeCell ref="A16:D16"/>
    <mergeCell ref="E16:J16"/>
    <mergeCell ref="A5:D5"/>
    <mergeCell ref="E5:J5"/>
    <mergeCell ref="X5:AA5"/>
    <mergeCell ref="X15:AA15"/>
    <mergeCell ref="X16:AA16"/>
    <mergeCell ref="A27:D27"/>
    <mergeCell ref="A15:D15"/>
    <mergeCell ref="X27:AA27"/>
    <mergeCell ref="X28:AA28"/>
    <mergeCell ref="Z29:AE29"/>
    <mergeCell ref="AB5:AH5"/>
    <mergeCell ref="AB16:AH16"/>
    <mergeCell ref="X39:AA39"/>
    <mergeCell ref="X50:AB50"/>
    <mergeCell ref="X61:AB61"/>
    <mergeCell ref="AC61:AH61"/>
    <mergeCell ref="X62:Y62"/>
    <mergeCell ref="Z62:AE62"/>
    <mergeCell ref="AG62:AH62"/>
    <mergeCell ref="AG51:AH51"/>
    <mergeCell ref="Z51:AE51"/>
    <mergeCell ref="X51:Y51"/>
    <mergeCell ref="AC50:AH50"/>
    <mergeCell ref="AB39:AG39"/>
    <mergeCell ref="X40:Y40"/>
    <mergeCell ref="Z40:AE40"/>
    <mergeCell ref="AG40:AH40"/>
  </mergeCells>
  <hyperlinks>
    <hyperlink ref="A28:D28" r:id="rId1" display="\\pe.local\shares\P074\TestData\20210513_PIPO_Engine5ADelivery" xr:uid="{AC2808BA-C091-4B10-BAE1-C0A2E97FC023}"/>
    <hyperlink ref="A16:D16" r:id="rId2" display="\\pe.local\shares\P074\TestData\20210510_PIPO_KnockControl" xr:uid="{EFF6DD45-6015-43C4-806D-666B0E0C9189}"/>
    <hyperlink ref="A5:D5" r:id="rId3" display="\\pe.local\shares\P074\TestData\20210513_PIPO_Engine5ADelivery" xr:uid="{FE3732A6-8DAA-444D-8C5B-6A97BF09D263}"/>
    <hyperlink ref="X5:AA5" r:id="rId4" display="\\pe.local\shares\P074\TestData\20210513_PIPO_Engine5ADelivery" xr:uid="{0BFD73A4-3DBB-42E4-BE2D-2C6BADA43D19}"/>
    <hyperlink ref="X16:AA16" r:id="rId5" display="\\pe.local\shares\P074\TestData\20210513_PIPO_Engine5ADelivery" xr:uid="{9FD08397-6A13-429B-BB66-43E232C2005B}"/>
    <hyperlink ref="X28:AA28" r:id="rId6" display="\\pe.local\shares\P074\TestData\20210513_PIPO_Engine5ADelivery" xr:uid="{B599F741-0AAB-4CBB-802F-93EA47DF7461}"/>
    <hyperlink ref="X39:AA39" r:id="rId7" display="\\pe.local\shares\P074\TestData\20210510_PIPO_KnockControl" xr:uid="{0837362B-D913-479C-8D7B-EF296E409A17}"/>
    <hyperlink ref="X50:AB50" r:id="rId8" display="\\pe.local\shares\P074\TestData\20210513_PIPO_Engine5ADelivery" xr:uid="{B719AE42-8205-4F63-8756-98B282CA67D9}"/>
    <hyperlink ref="X61:AB61" r:id="rId9" display="\\pe.local\shares\P074\TestData\20210513_PIPO_Engine5ADelivery" xr:uid="{1E79522B-CEE1-42E7-BCE6-A5A102E7BC3B}"/>
  </hyperlinks>
  <pageMargins left="0.7" right="0.7" top="0.75" bottom="0.75" header="0.3" footer="0.3"/>
  <pageSetup paperSize="9"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Thesis_AdimensionalMaps</vt:lpstr>
      <vt:lpstr>Canopy_dmFuelMaps</vt:lpstr>
      <vt:lpstr>PreVSPost-Bancage</vt:lpstr>
      <vt:lpstr>WD_Maps and simulations(INTERP)</vt:lpstr>
      <vt:lpstr>FuelConsumption_VAL21T05</vt:lpstr>
      <vt:lpstr>20210513_PIPO_Engine5ADelivery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2021-11-23T16:12:16Z</dcterms:modified>
</cp:coreProperties>
</file>