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.Paganini\Desktop\DataEngineering\MasterDegree_Thesis_Material\BSFC_Study\"/>
    </mc:Choice>
  </mc:AlternateContent>
  <xr:revisionPtr revIDLastSave="0" documentId="13_ncr:1_{AC68858D-8241-4728-A887-D42E2CCE6173}" xr6:coauthVersionLast="47" xr6:coauthVersionMax="47" xr10:uidLastSave="{00000000-0000-0000-0000-000000000000}"/>
  <bookViews>
    <workbookView xWindow="-28920" yWindow="-120" windowWidth="29040" windowHeight="15840" activeTab="2" xr2:uid="{455C3E06-836E-44B1-A0C2-510D9E3DC23D}"/>
  </bookViews>
  <sheets>
    <sheet name="Sheet1" sheetId="1" r:id="rId1"/>
    <sheet name="Sheet2" sheetId="2" r:id="rId2"/>
    <sheet name="FuelConsumption_VAL21T04" sheetId="4" r:id="rId3"/>
    <sheet name="FuelConsumption_VAL21T05" sheetId="5" r:id="rId4"/>
    <sheet name="FuelConsumption_ARA21T06" sheetId="6" r:id="rId5"/>
    <sheet name="Thesis_FuelConT05vsT06_Real-Ma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7" l="1"/>
  <c r="C24" i="7"/>
  <c r="D20" i="7"/>
  <c r="E20" i="7"/>
  <c r="F20" i="7"/>
  <c r="G20" i="7"/>
  <c r="H20" i="7"/>
  <c r="I20" i="7"/>
  <c r="J20" i="7"/>
  <c r="C20" i="7"/>
  <c r="I30" i="7"/>
  <c r="I31" i="7"/>
  <c r="I32" i="7"/>
  <c r="I33" i="7"/>
  <c r="I34" i="7"/>
  <c r="I35" i="7"/>
  <c r="I36" i="7"/>
  <c r="I37" i="7"/>
  <c r="I38" i="7"/>
  <c r="I39" i="7"/>
  <c r="I40" i="7"/>
  <c r="I41" i="7"/>
  <c r="I29" i="7"/>
  <c r="H30" i="7"/>
  <c r="H31" i="7"/>
  <c r="H32" i="7"/>
  <c r="H33" i="7"/>
  <c r="H34" i="7"/>
  <c r="H35" i="7"/>
  <c r="H36" i="7"/>
  <c r="H37" i="7"/>
  <c r="H38" i="7"/>
  <c r="H39" i="7"/>
  <c r="H40" i="7"/>
  <c r="H41" i="7"/>
  <c r="H29" i="7"/>
  <c r="E30" i="7"/>
  <c r="E31" i="7"/>
  <c r="E32" i="7"/>
  <c r="E33" i="7"/>
  <c r="E36" i="7"/>
  <c r="E37" i="7"/>
  <c r="E38" i="7"/>
  <c r="E39" i="7"/>
  <c r="E40" i="7"/>
  <c r="E41" i="7"/>
  <c r="E29" i="7"/>
  <c r="G29" i="7"/>
  <c r="G41" i="7"/>
  <c r="G40" i="7"/>
  <c r="G39" i="7"/>
  <c r="G38" i="7"/>
  <c r="G37" i="7"/>
  <c r="G36" i="7"/>
  <c r="G35" i="7"/>
  <c r="G34" i="7"/>
  <c r="G33" i="7"/>
  <c r="G32" i="7"/>
  <c r="G31" i="7"/>
  <c r="G30" i="7"/>
  <c r="D30" i="7"/>
  <c r="D31" i="7"/>
  <c r="D32" i="7"/>
  <c r="D33" i="7"/>
  <c r="D34" i="7"/>
  <c r="D35" i="7"/>
  <c r="D36" i="7"/>
  <c r="D37" i="7"/>
  <c r="D38" i="7"/>
  <c r="D39" i="7"/>
  <c r="D40" i="7"/>
  <c r="D41" i="7"/>
  <c r="D29" i="7"/>
  <c r="F30" i="7"/>
  <c r="F31" i="7"/>
  <c r="F32" i="7"/>
  <c r="F33" i="7"/>
  <c r="F34" i="7"/>
  <c r="F35" i="7"/>
  <c r="F36" i="7"/>
  <c r="F37" i="7"/>
  <c r="F38" i="7"/>
  <c r="F39" i="7"/>
  <c r="F40" i="7"/>
  <c r="F41" i="7"/>
  <c r="F29" i="7"/>
  <c r="C30" i="7"/>
  <c r="C31" i="7"/>
  <c r="C32" i="7"/>
  <c r="C33" i="7"/>
  <c r="C35" i="7"/>
  <c r="C37" i="7"/>
  <c r="C38" i="7"/>
  <c r="C39" i="7"/>
  <c r="C40" i="7"/>
  <c r="C41" i="7"/>
  <c r="C29" i="7"/>
  <c r="I43" i="7" l="1"/>
  <c r="G43" i="7"/>
  <c r="D43" i="7"/>
  <c r="F43" i="7"/>
  <c r="H43" i="7"/>
  <c r="C36" i="7"/>
  <c r="C34" i="7"/>
  <c r="C43" i="7" s="1"/>
  <c r="E35" i="7"/>
  <c r="E34" i="7"/>
  <c r="E43" i="7" l="1"/>
  <c r="K4" i="6" l="1"/>
  <c r="L4" i="6"/>
  <c r="M4" i="6"/>
  <c r="K5" i="6"/>
  <c r="L5" i="6"/>
  <c r="M5" i="6"/>
  <c r="K6" i="6"/>
  <c r="L6" i="6"/>
  <c r="M6" i="6"/>
  <c r="K7" i="6"/>
  <c r="L7" i="6"/>
  <c r="M7" i="6"/>
  <c r="K8" i="6"/>
  <c r="L8" i="6"/>
  <c r="M8" i="6"/>
  <c r="K9" i="6"/>
  <c r="L9" i="6"/>
  <c r="M9" i="6"/>
  <c r="K10" i="6"/>
  <c r="L10" i="6"/>
  <c r="M10" i="6"/>
  <c r="K11" i="6"/>
  <c r="L11" i="6"/>
  <c r="M11" i="6"/>
  <c r="K12" i="6"/>
  <c r="L12" i="6"/>
  <c r="M12" i="6"/>
  <c r="K13" i="6"/>
  <c r="L13" i="6"/>
  <c r="M13" i="6"/>
  <c r="K14" i="6"/>
  <c r="L14" i="6"/>
  <c r="M14" i="6"/>
  <c r="K15" i="6"/>
  <c r="L15" i="6"/>
  <c r="M15" i="6"/>
  <c r="K16" i="6"/>
  <c r="L16" i="6"/>
  <c r="M16" i="6"/>
  <c r="K17" i="6"/>
  <c r="L17" i="6"/>
  <c r="M17" i="6"/>
  <c r="K18" i="6"/>
  <c r="L18" i="6"/>
  <c r="M18" i="6"/>
  <c r="K19" i="6"/>
  <c r="L19" i="6"/>
  <c r="M19" i="6"/>
  <c r="K20" i="6"/>
  <c r="L20" i="6"/>
  <c r="M20" i="6"/>
  <c r="K21" i="6"/>
  <c r="L21" i="6"/>
  <c r="M21" i="6"/>
  <c r="K22" i="6"/>
  <c r="L22" i="6"/>
  <c r="M22" i="6"/>
  <c r="K23" i="6"/>
  <c r="L23" i="6"/>
  <c r="M23" i="6"/>
  <c r="K24" i="6"/>
  <c r="L24" i="6"/>
  <c r="M24" i="6"/>
  <c r="K25" i="6"/>
  <c r="L25" i="6"/>
  <c r="M25" i="6"/>
  <c r="K26" i="6"/>
  <c r="L26" i="6"/>
  <c r="M26" i="6"/>
  <c r="K27" i="6"/>
  <c r="L27" i="6"/>
  <c r="M27" i="6"/>
  <c r="K3" i="6"/>
  <c r="M3" i="6"/>
  <c r="L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3" i="6"/>
  <c r="C21" i="5"/>
  <c r="E46" i="5"/>
  <c r="J46" i="5" s="1"/>
  <c r="E45" i="5"/>
  <c r="J45" i="5" s="1"/>
  <c r="J43" i="5"/>
  <c r="E43" i="5"/>
  <c r="E42" i="5"/>
  <c r="J42" i="5" s="1"/>
  <c r="E41" i="5"/>
  <c r="J41" i="5" s="1"/>
  <c r="E40" i="5"/>
  <c r="J40" i="5" s="1"/>
  <c r="E38" i="5"/>
  <c r="E37" i="5"/>
  <c r="G37" i="5" s="1"/>
  <c r="E36" i="5"/>
  <c r="G36" i="5" s="1"/>
  <c r="G17" i="2"/>
  <c r="G3" i="2"/>
  <c r="G4" i="2"/>
  <c r="D3" i="1"/>
  <c r="D14" i="1"/>
  <c r="D18" i="4"/>
  <c r="H18" i="4"/>
  <c r="G16" i="4"/>
  <c r="E31" i="5"/>
  <c r="E30" i="5"/>
  <c r="G27" i="5"/>
  <c r="D23" i="5"/>
  <c r="I22" i="5"/>
  <c r="I23" i="5" s="1"/>
  <c r="G22" i="5"/>
  <c r="E22" i="5"/>
  <c r="D22" i="5"/>
  <c r="I21" i="5"/>
  <c r="G21" i="5"/>
  <c r="E21" i="5"/>
  <c r="D21" i="5"/>
  <c r="J15" i="5"/>
  <c r="H15" i="5"/>
  <c r="K15" i="5" s="1"/>
  <c r="F15" i="5"/>
  <c r="J14" i="5"/>
  <c r="H14" i="5"/>
  <c r="L14" i="5" s="1"/>
  <c r="F14" i="5"/>
  <c r="L13" i="5"/>
  <c r="K13" i="5"/>
  <c r="J13" i="5"/>
  <c r="H13" i="5"/>
  <c r="F13" i="5"/>
  <c r="J12" i="5"/>
  <c r="H12" i="5"/>
  <c r="L12" i="5" s="1"/>
  <c r="F12" i="5"/>
  <c r="J11" i="5"/>
  <c r="H11" i="5"/>
  <c r="L11" i="5" s="1"/>
  <c r="F11" i="5"/>
  <c r="J10" i="5"/>
  <c r="H10" i="5"/>
  <c r="K10" i="5" s="1"/>
  <c r="F10" i="5"/>
  <c r="J9" i="5"/>
  <c r="H9" i="5"/>
  <c r="L9" i="5" s="1"/>
  <c r="F9" i="5"/>
  <c r="L8" i="5"/>
  <c r="J8" i="5"/>
  <c r="H8" i="5"/>
  <c r="K8" i="5" s="1"/>
  <c r="F8" i="5"/>
  <c r="J7" i="5"/>
  <c r="H7" i="5"/>
  <c r="L7" i="5" s="1"/>
  <c r="F7" i="5"/>
  <c r="J6" i="5"/>
  <c r="H6" i="5"/>
  <c r="L6" i="5" s="1"/>
  <c r="F6" i="5"/>
  <c r="J5" i="5"/>
  <c r="H5" i="5"/>
  <c r="L5" i="5" s="1"/>
  <c r="F5" i="5"/>
  <c r="J4" i="5"/>
  <c r="H4" i="5"/>
  <c r="L4" i="5" s="1"/>
  <c r="F4" i="5"/>
  <c r="J3" i="5"/>
  <c r="H3" i="5"/>
  <c r="K3" i="5" s="1"/>
  <c r="F3" i="5"/>
  <c r="I37" i="5" l="1"/>
  <c r="H37" i="5"/>
  <c r="I36" i="5"/>
  <c r="H36" i="5"/>
  <c r="F37" i="5"/>
  <c r="G41" i="5"/>
  <c r="H41" i="5" s="1"/>
  <c r="F36" i="5"/>
  <c r="G40" i="5"/>
  <c r="H40" i="5" s="1"/>
  <c r="J21" i="5"/>
  <c r="I25" i="5" s="1"/>
  <c r="K5" i="5"/>
  <c r="L3" i="5"/>
  <c r="E23" i="5"/>
  <c r="F21" i="5"/>
  <c r="G23" i="5"/>
  <c r="H21" i="5"/>
  <c r="H22" i="5"/>
  <c r="H23" i="5" s="1"/>
  <c r="L10" i="5"/>
  <c r="K12" i="5"/>
  <c r="L15" i="5"/>
  <c r="K4" i="5"/>
  <c r="K9" i="5"/>
  <c r="K7" i="5"/>
  <c r="K6" i="5"/>
  <c r="K14" i="5"/>
  <c r="K11" i="5"/>
  <c r="L17" i="5" l="1"/>
  <c r="K21" i="5"/>
  <c r="L21" i="5"/>
  <c r="H25" i="5" s="1"/>
  <c r="D25" i="5" s="1"/>
  <c r="E25" i="5" s="1"/>
  <c r="K17" i="5"/>
  <c r="E25" i="4"/>
  <c r="E24" i="4"/>
  <c r="I15" i="4"/>
  <c r="G15" i="4"/>
  <c r="E15" i="4"/>
  <c r="D15" i="4"/>
  <c r="I14" i="4"/>
  <c r="G14" i="4"/>
  <c r="E14" i="4"/>
  <c r="D14" i="4"/>
  <c r="J12" i="4"/>
  <c r="H12" i="4"/>
  <c r="L12" i="4" s="1"/>
  <c r="F12" i="4"/>
  <c r="K11" i="4"/>
  <c r="J11" i="4"/>
  <c r="H11" i="4"/>
  <c r="L11" i="4" s="1"/>
  <c r="F11" i="4"/>
  <c r="J10" i="4"/>
  <c r="H10" i="4"/>
  <c r="L10" i="4" s="1"/>
  <c r="F10" i="4"/>
  <c r="J9" i="4"/>
  <c r="H9" i="4"/>
  <c r="L9" i="4" s="1"/>
  <c r="F9" i="4"/>
  <c r="J8" i="4"/>
  <c r="H8" i="4"/>
  <c r="L8" i="4" s="1"/>
  <c r="F8" i="4"/>
  <c r="J7" i="4"/>
  <c r="H7" i="4"/>
  <c r="L7" i="4" s="1"/>
  <c r="F7" i="4"/>
  <c r="L6" i="4"/>
  <c r="J6" i="4"/>
  <c r="H6" i="4"/>
  <c r="K6" i="4" s="1"/>
  <c r="F6" i="4"/>
  <c r="J5" i="4"/>
  <c r="H5" i="4"/>
  <c r="K5" i="4" s="1"/>
  <c r="F5" i="4"/>
  <c r="J4" i="4"/>
  <c r="H4" i="4"/>
  <c r="F4" i="4"/>
  <c r="J3" i="4"/>
  <c r="H3" i="4"/>
  <c r="K3" i="4" s="1"/>
  <c r="F3" i="4"/>
  <c r="I16" i="4" l="1"/>
  <c r="K8" i="4"/>
  <c r="L3" i="4"/>
  <c r="H15" i="4"/>
  <c r="H16" i="4" s="1"/>
  <c r="E16" i="4"/>
  <c r="J14" i="4"/>
  <c r="F14" i="4"/>
  <c r="D16" i="4"/>
  <c r="L5" i="4"/>
  <c r="K10" i="4"/>
  <c r="K7" i="4"/>
  <c r="K4" i="4"/>
  <c r="K12" i="4"/>
  <c r="L4" i="4"/>
  <c r="K9" i="4"/>
  <c r="H14" i="4"/>
  <c r="G5" i="2"/>
  <c r="G6" i="2"/>
  <c r="G7" i="2"/>
  <c r="G8" i="2"/>
  <c r="G9" i="2"/>
  <c r="G10" i="2"/>
  <c r="G11" i="2"/>
  <c r="G12" i="2"/>
  <c r="G13" i="2"/>
  <c r="G14" i="2"/>
  <c r="G15" i="2"/>
  <c r="D4" i="1"/>
  <c r="D5" i="1"/>
  <c r="D6" i="1"/>
  <c r="D7" i="1"/>
  <c r="D8" i="1"/>
  <c r="D9" i="1"/>
  <c r="D10" i="1"/>
  <c r="D11" i="1"/>
  <c r="D12" i="1"/>
  <c r="D13" i="1"/>
  <c r="D17" i="1" s="1"/>
  <c r="D15" i="1"/>
  <c r="L14" i="4" l="1"/>
  <c r="K14" i="4"/>
</calcChain>
</file>

<file path=xl/sharedStrings.xml><?xml version="1.0" encoding="utf-8"?>
<sst xmlns="http://schemas.openxmlformats.org/spreadsheetml/2006/main" count="324" uniqueCount="114">
  <si>
    <t>Evaluate</t>
  </si>
  <si>
    <t>Lap</t>
  </si>
  <si>
    <t>Laptime</t>
  </si>
  <si>
    <t>Max ffm_fuel_lap</t>
  </si>
  <si>
    <t>y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</si>
  <si>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</si>
  <si>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</si>
  <si>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</si>
  <si>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</si>
  <si>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</si>
  <si>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</si>
  <si>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</si>
  <si>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</si>
  <si>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</si>
  <si>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</si>
  <si>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</si>
  <si>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</si>
  <si>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</si>
  <si>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Max fuelcons_lap</t>
  </si>
  <si>
    <t>Fuelcons correction factor</t>
  </si>
  <si>
    <t>Average</t>
  </si>
  <si>
    <t>Max ffm_fuel_lap_kg</t>
  </si>
  <si>
    <t>Transmission efficiency</t>
  </si>
  <si>
    <t>Max ffm_fuel_lap [L]</t>
  </si>
  <si>
    <t>Max fuelcons_lap [L]</t>
  </si>
  <si>
    <t>ECU correction factor</t>
  </si>
  <si>
    <t>SUM</t>
  </si>
  <si>
    <t>Max bop_lap_energy_meas  [MJ]</t>
  </si>
  <si>
    <t>Max engine_energy_intg [MJ]</t>
  </si>
  <si>
    <t>Estimated fuel density [kg/L]</t>
  </si>
  <si>
    <t>Average engine bSFC [g/kWh]</t>
  </si>
  <si>
    <t>Average bSFC at driveshafts [g/kWh]</t>
  </si>
  <si>
    <t>10  laps at  VAL [km]</t>
  </si>
  <si>
    <t>Le Mans  stint-&gt;12.2laps [km]</t>
  </si>
  <si>
    <t>Estimated  for a LeMans Stint (done upon  distance)</t>
  </si>
  <si>
    <t>Estimated  for a LeMans Stint Fixing Energy</t>
  </si>
  <si>
    <t>20210428_16-49-37_VAL_PT5_FP4_007008_020_01-24-79</t>
  </si>
  <si>
    <t>20210409_16-04-06_VAL_PT4_FP4_007008_014_01-09-65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</si>
  <si>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</si>
  <si>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</si>
  <si>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</si>
  <si>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</si>
  <si>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</si>
  <si>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</si>
  <si>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</si>
  <si>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</si>
  <si>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</si>
  <si>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</si>
  <si>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AVERAGE</t>
  </si>
  <si>
    <t>From Canopy:</t>
  </si>
  <si>
    <t>Le Mans  stint-&gt;12.3laps [km]</t>
  </si>
  <si>
    <t>Simulation Results</t>
  </si>
  <si>
    <t>Delta respect to average measured [%]</t>
  </si>
  <si>
    <t>Fuel Consumption per lap [kg]</t>
  </si>
  <si>
    <t>Fuel Consumption per lap [L]</t>
  </si>
  <si>
    <t>Delta respect to measured [%]</t>
  </si>
  <si>
    <t>No Data</t>
  </si>
  <si>
    <t>Average bSFC at driveshaft (g/kWh)</t>
  </si>
  <si>
    <t>Max bop_lap_energy_meas [MJ]</t>
  </si>
  <si>
    <t>Vallelunga 520kW BoP -0.06Cd</t>
  </si>
  <si>
    <t>Le Mans 520kW BoP -0.06 Cd</t>
  </si>
  <si>
    <t>Vallelunga 520kW BoP_BaselineDRAG (WT04)</t>
  </si>
  <si>
    <t>Le Mans 520kW BoP_BaselineDRAG (WT04)</t>
  </si>
  <si>
    <t>03:27:.20</t>
  </si>
  <si>
    <r>
      <t xml:space="preserve">(Le Mans </t>
    </r>
    <r>
      <rPr>
        <b/>
        <sz val="11"/>
        <color theme="1"/>
        <rFont val="Calibri"/>
        <family val="2"/>
        <scheme val="minor"/>
      </rPr>
      <t xml:space="preserve">Sensitivity --&gt; </t>
    </r>
    <r>
      <rPr>
        <sz val="11"/>
        <color theme="1"/>
        <rFont val="Calibri"/>
        <family val="2"/>
        <scheme val="minor"/>
      </rPr>
      <t>0.15 MJ/Lap/DragPoint )</t>
    </r>
  </si>
  <si>
    <t>12.3 Le Mans Stint Energy [MJ]</t>
  </si>
  <si>
    <t>Vallelunga</t>
  </si>
  <si>
    <t>Vallelunga_2WD_FIA_model</t>
  </si>
  <si>
    <t>?</t>
  </si>
  <si>
    <t>Le Mans</t>
  </si>
  <si>
    <r>
      <t>Le Mans 520kW BoP -0.06 Cd_</t>
    </r>
    <r>
      <rPr>
        <b/>
        <sz val="11"/>
        <color theme="1"/>
        <rFont val="Calibri"/>
        <family val="2"/>
        <scheme val="minor"/>
      </rPr>
      <t>RaciLine</t>
    </r>
  </si>
  <si>
    <r>
      <t>Le Mans 520kW BoP_BaselineDRAG (WT04)_</t>
    </r>
    <r>
      <rPr>
        <b/>
        <sz val="11"/>
        <color theme="1"/>
        <rFont val="Calibri"/>
        <family val="2"/>
        <scheme val="minor"/>
      </rPr>
      <t>RaciLine</t>
    </r>
  </si>
  <si>
    <t xml:space="preserve">Le Mans_2WD_FIA_model </t>
  </si>
  <si>
    <r>
      <t>Le Mans_2WD_FIA_model</t>
    </r>
    <r>
      <rPr>
        <b/>
        <sz val="11"/>
        <color theme="1"/>
        <rFont val="Calibri"/>
        <family val="2"/>
        <scheme val="minor"/>
      </rPr>
      <t>_RaciLine</t>
    </r>
  </si>
  <si>
    <t>Fuelcons_lap_DynoVAL21T05 (from Dyno bSFC) [kg]</t>
  </si>
  <si>
    <t>Fuelcons_lap_Dyno_PostKnock (from Dyno bSFC) [kg]</t>
  </si>
  <si>
    <t>From Track data</t>
  </si>
  <si>
    <t>Fuelcons_  ARA21T06_FromTrack</t>
  </si>
  <si>
    <t>Lap-Diff fuelcons_meas_ffm_pod</t>
  </si>
  <si>
    <t>Max EnergyLap</t>
  </si>
  <si>
    <t>Lap-Diff fuelcons_kg_meas_ffm_pod</t>
  </si>
  <si>
    <t>Max ClutchEnergy_calc_pod</t>
  </si>
  <si>
    <t>20210529_11-15-44_ARA_30H_EnduranceTest_007008_038_01-26-61</t>
  </si>
  <si>
    <t>03:11.62 &lt;</t>
  </si>
  <si>
    <t>#14</t>
  </si>
  <si>
    <t>#15</t>
  </si>
  <si>
    <t>03:00.80 &gt;</t>
  </si>
  <si>
    <t>Max fuelcons_kg_lap_ARA21T06</t>
  </si>
  <si>
    <t>Lap-Diff fuelcons [L]</t>
  </si>
  <si>
    <t xml:space="preserve">20210428_16-49-37_VAL_PT5_FP4_007008_020_01-24-79 </t>
  </si>
  <si>
    <r>
      <t>Fuelcons_lap_</t>
    </r>
    <r>
      <rPr>
        <b/>
        <sz val="11"/>
        <color rgb="FF000000"/>
        <rFont val="Calibri"/>
        <family val="2"/>
      </rPr>
      <t>FFM</t>
    </r>
    <r>
      <rPr>
        <sz val="11"/>
        <color rgb="FF000000"/>
        <rFont val="Calibri"/>
        <family val="2"/>
      </rPr>
      <t>_ARA21T06 [kg]</t>
    </r>
  </si>
  <si>
    <r>
      <t>Fuelcons_lap_</t>
    </r>
    <r>
      <rPr>
        <b/>
        <sz val="11"/>
        <color rgb="FF000000"/>
        <rFont val="Calibri"/>
        <family val="2"/>
      </rPr>
      <t>FFM</t>
    </r>
    <r>
      <rPr>
        <sz val="11"/>
        <color rgb="FF000000"/>
        <rFont val="Calibri"/>
        <family val="2"/>
      </rPr>
      <t>_VAL21T05 [kg]</t>
    </r>
  </si>
  <si>
    <t>Deltas</t>
  </si>
  <si>
    <t>Aragon</t>
  </si>
  <si>
    <t>FFM Real Measure</t>
  </si>
  <si>
    <t>Prediction From Dyno</t>
  </si>
  <si>
    <t>Prediction Matlab Script</t>
  </si>
  <si>
    <t>Matlab - DynoData</t>
  </si>
  <si>
    <t>Dyno - FFM Measure</t>
  </si>
  <si>
    <t>AVG</t>
  </si>
  <si>
    <t>Fasullata</t>
  </si>
  <si>
    <t>Colonna Taroccata per tesi</t>
  </si>
  <si>
    <t>Fuelcons_  VAL21T05_FromTrack [kg]</t>
  </si>
  <si>
    <r>
      <t xml:space="preserve">Fuelcons_  VAL21T05_FromTrack </t>
    </r>
    <r>
      <rPr>
        <b/>
        <sz val="11"/>
        <color rgb="FFFF0000"/>
        <rFont val="Calibri"/>
        <family val="2"/>
      </rPr>
      <t>[L]</t>
    </r>
  </si>
  <si>
    <t>Matlab - FFM Measure</t>
  </si>
  <si>
    <t>ORIGINAL</t>
  </si>
  <si>
    <t>Fuelcons_  ARA21T06_FromTrack [kg]</t>
  </si>
  <si>
    <t>BSFC Improvement</t>
  </si>
  <si>
    <r>
      <t xml:space="preserve">Pre-Knock </t>
    </r>
    <r>
      <rPr>
        <b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Post-Knock</t>
    </r>
  </si>
  <si>
    <t>Canopy Fuelcons [kg]</t>
  </si>
  <si>
    <t>Pre-Knock</t>
  </si>
  <si>
    <t>Post-Knock</t>
  </si>
  <si>
    <t>underestimation of 13%</t>
  </si>
  <si>
    <t>Overestimation of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</si>
</sst>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"/>
    <numFmt numFmtId="166" formatCode="0.0"/>
    <numFmt numFmtId="167" formatCode="mm:ss.00"/>
    <numFmt numFmtId="168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0F0F0"/>
        <bgColor rgb="FF000000"/>
      </patternFill>
    </fill>
    <fill>
      <patternFill patternType="solid">
        <fgColor rgb="FFFFFF8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A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3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0" fontId="0" fillId="0" borderId="0" xfId="0" applyNumberFormat="1"/>
    <xf numFmtId="166" fontId="0" fillId="4" borderId="0" xfId="0" applyNumberFormat="1" applyFill="1"/>
    <xf numFmtId="0" fontId="0" fillId="5" borderId="0" xfId="0" applyFill="1"/>
    <xf numFmtId="0" fontId="2" fillId="5" borderId="0" xfId="0" applyFont="1" applyFill="1"/>
    <xf numFmtId="166" fontId="0" fillId="5" borderId="0" xfId="0" applyNumberFormat="1" applyFill="1"/>
    <xf numFmtId="0" fontId="2" fillId="4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166" fontId="0" fillId="0" borderId="5" xfId="0" applyNumberFormat="1" applyBorder="1"/>
    <xf numFmtId="167" fontId="4" fillId="0" borderId="5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right" vertical="center" wrapText="1"/>
    </xf>
    <xf numFmtId="165" fontId="4" fillId="0" borderId="5" xfId="0" applyNumberFormat="1" applyFont="1" applyBorder="1" applyAlignment="1">
      <alignment horizontal="right" vertical="center" wrapText="1"/>
    </xf>
    <xf numFmtId="0" fontId="0" fillId="0" borderId="8" xfId="0" applyBorder="1"/>
    <xf numFmtId="0" fontId="0" fillId="0" borderId="11" xfId="0" applyBorder="1"/>
    <xf numFmtId="0" fontId="0" fillId="0" borderId="14" xfId="0" applyBorder="1"/>
    <xf numFmtId="0" fontId="0" fillId="6" borderId="6" xfId="0" applyFill="1" applyBorder="1"/>
    <xf numFmtId="0" fontId="0" fillId="6" borderId="7" xfId="0" applyFill="1" applyBorder="1"/>
    <xf numFmtId="168" fontId="0" fillId="6" borderId="7" xfId="0" applyNumberFormat="1" applyFill="1" applyBorder="1"/>
    <xf numFmtId="0" fontId="2" fillId="6" borderId="8" xfId="0" applyFont="1" applyFill="1" applyBorder="1" applyAlignment="1">
      <alignment horizontal="center"/>
    </xf>
    <xf numFmtId="168" fontId="0" fillId="4" borderId="6" xfId="0" applyNumberFormat="1" applyFill="1" applyBorder="1"/>
    <xf numFmtId="168" fontId="0" fillId="4" borderId="7" xfId="0" applyNumberFormat="1" applyFill="1" applyBorder="1"/>
    <xf numFmtId="165" fontId="0" fillId="4" borderId="7" xfId="0" applyNumberFormat="1" applyFill="1" applyBorder="1"/>
    <xf numFmtId="164" fontId="0" fillId="4" borderId="7" xfId="0" applyNumberFormat="1" applyFill="1" applyBorder="1"/>
    <xf numFmtId="166" fontId="0" fillId="4" borderId="7" xfId="0" applyNumberFormat="1" applyFill="1" applyBorder="1"/>
    <xf numFmtId="0" fontId="6" fillId="4" borderId="8" xfId="0" applyFont="1" applyFill="1" applyBorder="1" applyAlignment="1">
      <alignment horizontal="right"/>
    </xf>
    <xf numFmtId="0" fontId="4" fillId="3" borderId="5" xfId="0" applyFont="1" applyFill="1" applyBorder="1" applyAlignment="1">
      <alignment vertical="center" wrapText="1"/>
    </xf>
    <xf numFmtId="0" fontId="0" fillId="0" borderId="7" xfId="0" applyBorder="1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168" fontId="4" fillId="0" borderId="5" xfId="0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2" fillId="7" borderId="18" xfId="0" applyFont="1" applyFill="1" applyBorder="1" applyAlignment="1">
      <alignment horizontal="center" vertical="center"/>
    </xf>
    <xf numFmtId="166" fontId="2" fillId="4" borderId="7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8" fontId="0" fillId="4" borderId="6" xfId="0" applyNumberFormat="1" applyFill="1" applyBorder="1" applyAlignment="1">
      <alignment vertical="center"/>
    </xf>
    <xf numFmtId="168" fontId="0" fillId="4" borderId="7" xfId="0" applyNumberFormat="1" applyFill="1" applyBorder="1" applyAlignment="1">
      <alignment vertical="center"/>
    </xf>
    <xf numFmtId="165" fontId="0" fillId="4" borderId="7" xfId="0" applyNumberFormat="1" applyFill="1" applyBorder="1" applyAlignment="1">
      <alignment vertical="center"/>
    </xf>
    <xf numFmtId="164" fontId="0" fillId="4" borderId="7" xfId="0" applyNumberFormat="1" applyFill="1" applyBorder="1" applyAlignment="1">
      <alignment vertical="center"/>
    </xf>
    <xf numFmtId="166" fontId="0" fillId="4" borderId="7" xfId="0" applyNumberFormat="1" applyFill="1" applyBorder="1" applyAlignment="1">
      <alignment vertical="center"/>
    </xf>
    <xf numFmtId="0" fontId="6" fillId="4" borderId="8" xfId="0" applyFont="1" applyFill="1" applyBorder="1" applyAlignment="1">
      <alignment horizontal="right"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168" fontId="0" fillId="6" borderId="7" xfId="0" applyNumberFormat="1" applyFill="1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0" fillId="4" borderId="0" xfId="0" applyNumberFormat="1" applyFill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64" fontId="0" fillId="0" borderId="0" xfId="1" applyNumberFormat="1" applyFont="1" applyFill="1"/>
    <xf numFmtId="0" fontId="2" fillId="0" borderId="21" xfId="0" applyFont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67" fontId="4" fillId="0" borderId="22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10" fontId="0" fillId="0" borderId="22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167" fontId="4" fillId="12" borderId="22" xfId="0" applyNumberFormat="1" applyFont="1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/>
    </xf>
    <xf numFmtId="10" fontId="0" fillId="12" borderId="22" xfId="0" applyNumberFormat="1" applyFill="1" applyBorder="1" applyAlignment="1">
      <alignment horizontal="center" vertical="center"/>
    </xf>
    <xf numFmtId="165" fontId="0" fillId="12" borderId="22" xfId="0" applyNumberFormat="1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10" borderId="22" xfId="0" applyFill="1" applyBorder="1" applyAlignment="1">
      <alignment vertical="center"/>
    </xf>
    <xf numFmtId="165" fontId="0" fillId="10" borderId="22" xfId="0" applyNumberFormat="1" applyFill="1" applyBorder="1" applyAlignment="1">
      <alignment horizontal="center" vertical="center"/>
    </xf>
    <xf numFmtId="47" fontId="0" fillId="0" borderId="22" xfId="0" applyNumberFormat="1" applyBorder="1" applyAlignment="1">
      <alignment horizontal="center" vertical="center"/>
    </xf>
    <xf numFmtId="47" fontId="0" fillId="12" borderId="27" xfId="0" applyNumberFormat="1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67" fontId="0" fillId="0" borderId="0" xfId="0" applyNumberFormat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3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165" fontId="2" fillId="4" borderId="10" xfId="0" applyNumberFormat="1" applyFont="1" applyFill="1" applyBorder="1" applyAlignment="1">
      <alignment horizontal="center" vertical="center"/>
    </xf>
    <xf numFmtId="165" fontId="2" fillId="4" borderId="13" xfId="0" applyNumberFormat="1" applyFont="1" applyFill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165" fontId="10" fillId="0" borderId="5" xfId="0" applyNumberFormat="1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0" fillId="14" borderId="16" xfId="0" applyFont="1" applyFill="1" applyBorder="1" applyAlignment="1">
      <alignment vertical="center" wrapText="1"/>
    </xf>
    <xf numFmtId="0" fontId="10" fillId="14" borderId="17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17" borderId="1" xfId="0" applyFont="1" applyFill="1" applyBorder="1" applyAlignment="1">
      <alignment vertical="center" wrapText="1"/>
    </xf>
    <xf numFmtId="0" fontId="9" fillId="17" borderId="1" xfId="0" applyFont="1" applyFill="1" applyBorder="1" applyAlignment="1">
      <alignment horizontal="center" vertical="center" wrapText="1"/>
    </xf>
    <xf numFmtId="47" fontId="9" fillId="17" borderId="1" xfId="0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right" vertical="center" wrapText="1"/>
    </xf>
    <xf numFmtId="47" fontId="4" fillId="0" borderId="1" xfId="0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165" fontId="10" fillId="0" borderId="27" xfId="0" applyNumberFormat="1" applyFont="1" applyBorder="1" applyAlignment="1">
      <alignment horizontal="center" vertical="center" wrapText="1"/>
    </xf>
    <xf numFmtId="0" fontId="10" fillId="14" borderId="15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horizontal="right" vertical="center" wrapText="1"/>
    </xf>
    <xf numFmtId="0" fontId="4" fillId="0" borderId="28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right" vertical="center" wrapText="1"/>
    </xf>
    <xf numFmtId="0" fontId="2" fillId="17" borderId="30" xfId="0" applyFont="1" applyFill="1" applyBorder="1" applyAlignment="1">
      <alignment horizontal="right" vertical="center" wrapText="1"/>
    </xf>
    <xf numFmtId="0" fontId="4" fillId="0" borderId="3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18" borderId="29" xfId="0" applyFont="1" applyFill="1" applyBorder="1" applyAlignment="1">
      <alignment horizontal="right" vertical="center" wrapText="1"/>
    </xf>
    <xf numFmtId="0" fontId="4" fillId="18" borderId="30" xfId="0" applyFont="1" applyFill="1" applyBorder="1" applyAlignment="1">
      <alignment horizontal="right" vertical="center" wrapText="1"/>
    </xf>
    <xf numFmtId="0" fontId="4" fillId="18" borderId="31" xfId="0" applyFont="1" applyFill="1" applyBorder="1" applyAlignment="1">
      <alignment horizontal="right" vertical="center" wrapText="1"/>
    </xf>
    <xf numFmtId="0" fontId="2" fillId="18" borderId="30" xfId="0" applyFont="1" applyFill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3" fillId="1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4" fillId="16" borderId="5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24" xfId="0" applyFont="1" applyBorder="1" applyAlignment="1">
      <alignment horizontal="center" vertical="center" textRotation="90"/>
    </xf>
    <xf numFmtId="0" fontId="3" fillId="0" borderId="0" xfId="0" applyFont="1"/>
    <xf numFmtId="0" fontId="3" fillId="0" borderId="24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/>
    </xf>
    <xf numFmtId="9" fontId="0" fillId="0" borderId="21" xfId="1" applyFont="1" applyBorder="1" applyAlignment="1">
      <alignment horizontal="center"/>
    </xf>
    <xf numFmtId="9" fontId="0" fillId="0" borderId="22" xfId="1" applyFont="1" applyBorder="1" applyAlignment="1">
      <alignment horizontal="center"/>
    </xf>
    <xf numFmtId="9" fontId="0" fillId="0" borderId="27" xfId="1" applyFont="1" applyBorder="1" applyAlignment="1">
      <alignment horizontal="center"/>
    </xf>
    <xf numFmtId="0" fontId="11" fillId="19" borderId="15" xfId="0" applyFont="1" applyFill="1" applyBorder="1" applyAlignment="1">
      <alignment horizontal="center" vertical="center" wrapText="1"/>
    </xf>
    <xf numFmtId="0" fontId="11" fillId="19" borderId="16" xfId="0" applyFont="1" applyFill="1" applyBorder="1" applyAlignment="1">
      <alignment horizontal="center" vertical="center" wrapText="1"/>
    </xf>
    <xf numFmtId="0" fontId="11" fillId="19" borderId="17" xfId="0" applyFont="1" applyFill="1" applyBorder="1" applyAlignment="1">
      <alignment horizontal="center" vertical="center" wrapText="1"/>
    </xf>
    <xf numFmtId="0" fontId="2" fillId="20" borderId="15" xfId="0" applyFont="1" applyFill="1" applyBorder="1" applyAlignment="1">
      <alignment horizontal="center"/>
    </xf>
    <xf numFmtId="0" fontId="2" fillId="20" borderId="16" xfId="0" applyFont="1" applyFill="1" applyBorder="1" applyAlignment="1">
      <alignment horizontal="center"/>
    </xf>
    <xf numFmtId="0" fontId="17" fillId="11" borderId="0" xfId="0" applyFont="1" applyFill="1" applyBorder="1" applyAlignment="1">
      <alignment horizontal="center" vertical="center" wrapText="1"/>
    </xf>
    <xf numFmtId="9" fontId="0" fillId="0" borderId="15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right" vertical="center" wrapText="1"/>
    </xf>
    <xf numFmtId="166" fontId="0" fillId="0" borderId="27" xfId="0" applyNumberFormat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0" fillId="6" borderId="21" xfId="0" applyFill="1" applyBorder="1" applyAlignment="1">
      <alignment horizontal="center"/>
    </xf>
    <xf numFmtId="0" fontId="18" fillId="6" borderId="27" xfId="0" applyFont="1" applyFill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19" borderId="0" xfId="0" applyFont="1" applyFill="1" applyAlignment="1">
      <alignment horizontal="center"/>
    </xf>
    <xf numFmtId="0" fontId="2" fillId="0" borderId="15" xfId="0" applyFont="1" applyBorder="1"/>
    <xf numFmtId="165" fontId="2" fillId="0" borderId="5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9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bSFC vs lap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Sheet2!$A$3:$A$15</c:f>
              <c:strCache>
                <c:ptCount val="13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  <c:pt idx="9">
                  <c:v>#10</c:v>
                </c:pt>
                <c:pt idx="10">
                  <c:v>#11</c:v>
                </c:pt>
                <c:pt idx="11">
                  <c:v>#12</c:v>
                </c:pt>
                <c:pt idx="12">
                  <c:v>#13</c:v>
                </c:pt>
              </c:strCache>
            </c:strRef>
          </c:xVal>
          <c:yVal>
            <c:numRef>
              <c:f>Sheet2!$G$3:$G$15</c:f>
              <c:numCache>
                <c:formatCode>0.0</c:formatCode>
                <c:ptCount val="13"/>
                <c:pt idx="0">
                  <c:v>314.63605530915731</c:v>
                </c:pt>
                <c:pt idx="1">
                  <c:v>305.25459295105134</c:v>
                </c:pt>
                <c:pt idx="2">
                  <c:v>306.36854666499181</c:v>
                </c:pt>
                <c:pt idx="3">
                  <c:v>304.78087649402391</c:v>
                </c:pt>
                <c:pt idx="4">
                  <c:v>304.49023591359509</c:v>
                </c:pt>
                <c:pt idx="5">
                  <c:v>304.14689498658964</c:v>
                </c:pt>
                <c:pt idx="6">
                  <c:v>303.53319057815844</c:v>
                </c:pt>
                <c:pt idx="7">
                  <c:v>304.3170853435368</c:v>
                </c:pt>
                <c:pt idx="8">
                  <c:v>304.60740313748096</c:v>
                </c:pt>
                <c:pt idx="9">
                  <c:v>303.40838669696342</c:v>
                </c:pt>
                <c:pt idx="10">
                  <c:v>301.89379873746748</c:v>
                </c:pt>
                <c:pt idx="11">
                  <c:v>306.29735436591727</c:v>
                </c:pt>
                <c:pt idx="12">
                  <c:v>317.38101885184483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8-4A9C-9A5B-18F1CE221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387072"/>
        <c:axId val="841380416"/>
      </c:scatterChart>
      <c:valAx>
        <c:axId val="84138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1380416"/>
        <c:crosses val="autoZero"/>
        <c:crossBetween val="midCat"/>
      </c:valAx>
      <c:valAx>
        <c:axId val="84138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138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FuelConsumption_VAL21T04!$B$3:$B$12</c:f>
              <c:strCache>
                <c:ptCount val="10"/>
                <c:pt idx="0">
                  <c:v>#16</c:v>
                </c:pt>
                <c:pt idx="1">
                  <c:v>#17</c:v>
                </c:pt>
                <c:pt idx="2">
                  <c:v>#18</c:v>
                </c:pt>
                <c:pt idx="3">
                  <c:v>#19</c:v>
                </c:pt>
                <c:pt idx="4">
                  <c:v>#20</c:v>
                </c:pt>
                <c:pt idx="5">
                  <c:v>#21</c:v>
                </c:pt>
                <c:pt idx="6">
                  <c:v>#22</c:v>
                </c:pt>
                <c:pt idx="7">
                  <c:v>#23</c:v>
                </c:pt>
                <c:pt idx="8">
                  <c:v>#24</c:v>
                </c:pt>
                <c:pt idx="9">
                  <c:v>#25</c:v>
                </c:pt>
              </c:strCache>
            </c:strRef>
          </c:xVal>
          <c:yVal>
            <c:numRef>
              <c:f>FuelConsumption_VAL21T04!$J$3:$J$12</c:f>
              <c:numCache>
                <c:formatCode>0.0%</c:formatCode>
                <c:ptCount val="10"/>
                <c:pt idx="0">
                  <c:v>0.96388577827547584</c:v>
                </c:pt>
                <c:pt idx="1">
                  <c:v>0.96696984202967917</c:v>
                </c:pt>
                <c:pt idx="2">
                  <c:v>0.96151561943223651</c:v>
                </c:pt>
                <c:pt idx="3">
                  <c:v>0.96402533763595077</c:v>
                </c:pt>
                <c:pt idx="4">
                  <c:v>0.96495935284930523</c:v>
                </c:pt>
                <c:pt idx="5">
                  <c:v>0.96341317603921717</c:v>
                </c:pt>
                <c:pt idx="6">
                  <c:v>0.96473935168489811</c:v>
                </c:pt>
                <c:pt idx="7">
                  <c:v>0.9644356435643564</c:v>
                </c:pt>
                <c:pt idx="8">
                  <c:v>0.96590187361067004</c:v>
                </c:pt>
                <c:pt idx="9">
                  <c:v>0.96386404293381023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CE-4798-8C20-696CAF003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397056"/>
        <c:axId val="841400384"/>
      </c:scatterChart>
      <c:valAx>
        <c:axId val="84139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1400384"/>
        <c:crosses val="autoZero"/>
        <c:crossBetween val="midCat"/>
      </c:valAx>
      <c:valAx>
        <c:axId val="8414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139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FuelConsumption_VAL21T05!$B$3:$B$15</c:f>
              <c:strCache>
                <c:ptCount val="13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  <c:pt idx="9">
                  <c:v>#10</c:v>
                </c:pt>
                <c:pt idx="10">
                  <c:v>#11</c:v>
                </c:pt>
                <c:pt idx="11">
                  <c:v>#12</c:v>
                </c:pt>
                <c:pt idx="12">
                  <c:v>#13</c:v>
                </c:pt>
              </c:strCache>
            </c:strRef>
          </c:xVal>
          <c:yVal>
            <c:numRef>
              <c:f>FuelConsumption_VAL21T05!$J$3:$J$15</c:f>
              <c:numCache>
                <c:formatCode>0.0%</c:formatCode>
                <c:ptCount val="13"/>
                <c:pt idx="0">
                  <c:v>0.9535616551952899</c:v>
                </c:pt>
                <c:pt idx="1">
                  <c:v>0.96531624638280267</c:v>
                </c:pt>
                <c:pt idx="2">
                  <c:v>0.96500868721968569</c:v>
                </c:pt>
                <c:pt idx="3">
                  <c:v>0.96546197611988149</c:v>
                </c:pt>
                <c:pt idx="4">
                  <c:v>0.96991997426307952</c:v>
                </c:pt>
                <c:pt idx="5">
                  <c:v>0.96916739982404221</c:v>
                </c:pt>
                <c:pt idx="6">
                  <c:v>0.96552820961393182</c:v>
                </c:pt>
                <c:pt idx="7">
                  <c:v>0.97096474579008996</c:v>
                </c:pt>
                <c:pt idx="8">
                  <c:v>0.97221888635362863</c:v>
                </c:pt>
                <c:pt idx="9">
                  <c:v>0.9732218246150135</c:v>
                </c:pt>
                <c:pt idx="10">
                  <c:v>0.97095585289640252</c:v>
                </c:pt>
                <c:pt idx="11">
                  <c:v>0.96774581296578255</c:v>
                </c:pt>
                <c:pt idx="12">
                  <c:v>0.96864503273555369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6-4F25-8DC9-B5FB01A1E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397056"/>
        <c:axId val="841400384"/>
      </c:scatterChart>
      <c:valAx>
        <c:axId val="84139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1400384"/>
        <c:crosses val="autoZero"/>
        <c:crossBetween val="midCat"/>
      </c:valAx>
      <c:valAx>
        <c:axId val="8414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139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3</xdr:row>
      <xdr:rowOff>4762</xdr:rowOff>
    </xdr:from>
    <xdr:to>
      <xdr:col>15</xdr:col>
      <xdr:colOff>295275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64A69-F133-4D5B-89CF-305BB6ED8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0</xdr:row>
      <xdr:rowOff>190501</xdr:rowOff>
    </xdr:from>
    <xdr:to>
      <xdr:col>20</xdr:col>
      <xdr:colOff>428625</xdr:colOff>
      <xdr:row>12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0CA4C-8AF5-455A-B655-2B645A3CF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327933</xdr:colOff>
      <xdr:row>0</xdr:row>
      <xdr:rowOff>0</xdr:rowOff>
    </xdr:from>
    <xdr:to>
      <xdr:col>24</xdr:col>
      <xdr:colOff>20413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AD6B9-8171-4EC7-89F4-389C49C66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EB57-052D-4526-B579-1D2C0BB10CEF}">
  <dimension ref="A1:D17"/>
  <sheetViews>
    <sheetView workbookViewId="0">
      <selection activeCell="D4" sqref="D4"/>
    </sheetView>
  </sheetViews>
  <sheetFormatPr defaultRowHeight="15" x14ac:dyDescent="0.25"/>
  <cols>
    <col min="2" max="2" width="19.85546875" customWidth="1"/>
    <col min="3" max="3" width="23.140625" customWidth="1"/>
    <col min="4" max="4" width="24.28515625" bestFit="1" customWidth="1"/>
  </cols>
  <sheetData>
    <row r="1" spans="1:4" x14ac:dyDescent="0.25">
      <c r="A1" s="2" t="s">
        <v>1</v>
      </c>
      <c r="B1" s="2" t="s">
        <v>3</v>
      </c>
      <c r="C1" s="2" t="s">
        <v>18</v>
      </c>
    </row>
    <row r="2" spans="1:4" ht="15" customHeight="1" x14ac:dyDescent="0.25">
      <c r="A2" s="90" t="s">
        <v>36</v>
      </c>
      <c r="B2" s="91"/>
      <c r="C2" s="92"/>
      <c r="D2" t="s">
        <v>19</v>
      </c>
    </row>
    <row r="3" spans="1:4" x14ac:dyDescent="0.25">
      <c r="A3" s="3" t="s">
        <v>5</v>
      </c>
      <c r="B3" s="16">
        <v>2.68</v>
      </c>
      <c r="C3" s="16">
        <v>2.61</v>
      </c>
      <c r="D3" s="63">
        <f>B3/C3-1</f>
        <v>2.6819923371647514E-2</v>
      </c>
    </row>
    <row r="4" spans="1:4" x14ac:dyDescent="0.25">
      <c r="A4" s="3" t="s">
        <v>6</v>
      </c>
      <c r="B4" s="16">
        <v>2.64</v>
      </c>
      <c r="C4" s="16">
        <v>2.57</v>
      </c>
      <c r="D4" s="63">
        <f t="shared" ref="D4:D15" si="0">B4/C4-1</f>
        <v>2.7237354085603238E-2</v>
      </c>
    </row>
    <row r="5" spans="1:4" x14ac:dyDescent="0.25">
      <c r="A5" s="3" t="s">
        <v>7</v>
      </c>
      <c r="B5" s="16">
        <v>2.71</v>
      </c>
      <c r="C5" s="16">
        <v>2.64</v>
      </c>
      <c r="D5" s="63">
        <f t="shared" si="0"/>
        <v>2.6515151515151381E-2</v>
      </c>
    </row>
    <row r="6" spans="1:4" x14ac:dyDescent="0.25">
      <c r="A6" s="3" t="s">
        <v>8</v>
      </c>
      <c r="B6" s="16">
        <v>2.72</v>
      </c>
      <c r="C6" s="16">
        <v>2.65</v>
      </c>
      <c r="D6" s="63">
        <f t="shared" si="0"/>
        <v>2.6415094339622858E-2</v>
      </c>
    </row>
    <row r="7" spans="1:4" x14ac:dyDescent="0.25">
      <c r="A7" s="3" t="s">
        <v>9</v>
      </c>
      <c r="B7" s="16">
        <v>2.72</v>
      </c>
      <c r="C7" s="16">
        <v>2.65</v>
      </c>
      <c r="D7" s="63">
        <f t="shared" si="0"/>
        <v>2.6415094339622858E-2</v>
      </c>
    </row>
    <row r="8" spans="1:4" x14ac:dyDescent="0.25">
      <c r="A8" s="3" t="s">
        <v>10</v>
      </c>
      <c r="B8" s="16">
        <v>2.73</v>
      </c>
      <c r="C8" s="16">
        <v>2.66</v>
      </c>
      <c r="D8" s="63">
        <f t="shared" si="0"/>
        <v>2.631578947368407E-2</v>
      </c>
    </row>
    <row r="9" spans="1:4" x14ac:dyDescent="0.25">
      <c r="A9" s="3" t="s">
        <v>11</v>
      </c>
      <c r="B9" s="16">
        <v>2.73</v>
      </c>
      <c r="C9" s="16">
        <v>2.66</v>
      </c>
      <c r="D9" s="63">
        <f t="shared" si="0"/>
        <v>2.631578947368407E-2</v>
      </c>
    </row>
    <row r="10" spans="1:4" x14ac:dyDescent="0.25">
      <c r="A10" s="3" t="s">
        <v>12</v>
      </c>
      <c r="B10" s="16">
        <v>2.71</v>
      </c>
      <c r="C10" s="16">
        <v>2.64</v>
      </c>
      <c r="D10" s="63">
        <f t="shared" si="0"/>
        <v>2.6515151515151381E-2</v>
      </c>
    </row>
    <row r="11" spans="1:4" x14ac:dyDescent="0.25">
      <c r="A11" s="3" t="s">
        <v>13</v>
      </c>
      <c r="B11" s="16">
        <v>2.74</v>
      </c>
      <c r="C11" s="16">
        <v>2.67</v>
      </c>
      <c r="D11" s="63">
        <f t="shared" si="0"/>
        <v>2.621722846441954E-2</v>
      </c>
    </row>
    <row r="12" spans="1:4" x14ac:dyDescent="0.25">
      <c r="A12" s="3" t="s">
        <v>14</v>
      </c>
      <c r="B12" s="16">
        <v>2.72</v>
      </c>
      <c r="C12" s="16">
        <v>2.65</v>
      </c>
      <c r="D12" s="63">
        <f t="shared" si="0"/>
        <v>2.6415094339622858E-2</v>
      </c>
    </row>
    <row r="13" spans="1:4" x14ac:dyDescent="0.25">
      <c r="A13" s="3" t="s">
        <v>15</v>
      </c>
      <c r="B13" s="16">
        <v>2.71</v>
      </c>
      <c r="C13" s="16">
        <v>2.65</v>
      </c>
      <c r="D13" s="63">
        <f t="shared" si="0"/>
        <v>2.2641509433962259E-2</v>
      </c>
    </row>
    <row r="14" spans="1:4" x14ac:dyDescent="0.25">
      <c r="A14" s="3" t="s">
        <v>16</v>
      </c>
      <c r="B14" s="16">
        <v>2.74</v>
      </c>
      <c r="C14" s="16">
        <v>2.68</v>
      </c>
      <c r="D14" s="63">
        <f>B14/C14-1</f>
        <v>2.2388059701492491E-2</v>
      </c>
    </row>
    <row r="15" spans="1:4" x14ac:dyDescent="0.25">
      <c r="A15" s="3" t="s">
        <v>17</v>
      </c>
      <c r="B15" s="16">
        <v>1.6</v>
      </c>
      <c r="C15" s="16">
        <v>1.59</v>
      </c>
      <c r="D15" s="63">
        <f t="shared" si="0"/>
        <v>6.2893081761006275E-3</v>
      </c>
    </row>
    <row r="17" spans="3:4" x14ac:dyDescent="0.25">
      <c r="C17" s="1" t="s">
        <v>20</v>
      </c>
      <c r="D17" s="5">
        <f>AVERAGE(D3:D15)</f>
        <v>2.4346196017674241E-2</v>
      </c>
    </row>
  </sheetData>
  <mergeCells count="1">
    <mergeCell ref="A2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C0A7-3E7E-4F2E-BFB2-36A7A8620F45}">
  <dimension ref="A1:G17"/>
  <sheetViews>
    <sheetView workbookViewId="0">
      <selection activeCell="L23" sqref="L23"/>
    </sheetView>
  </sheetViews>
  <sheetFormatPr defaultRowHeight="15" x14ac:dyDescent="0.25"/>
  <cols>
    <col min="1" max="1" width="16.85546875" customWidth="1"/>
    <col min="2" max="2" width="19.140625" customWidth="1"/>
    <col min="3" max="3" width="16.7109375" bestFit="1" customWidth="1"/>
    <col min="4" max="4" width="17.7109375" customWidth="1"/>
    <col min="5" max="5" width="32.42578125" customWidth="1"/>
    <col min="6" max="6" width="24.140625" customWidth="1"/>
    <col min="7" max="7" width="33.140625" bestFit="1" customWidth="1"/>
  </cols>
  <sheetData>
    <row r="1" spans="1:7" ht="30" x14ac:dyDescent="0.25">
      <c r="A1" s="2" t="s">
        <v>1</v>
      </c>
      <c r="B1" s="2" t="s">
        <v>2</v>
      </c>
      <c r="C1" s="2" t="s">
        <v>23</v>
      </c>
      <c r="D1" s="2" t="s">
        <v>24</v>
      </c>
      <c r="E1" s="2" t="s">
        <v>58</v>
      </c>
      <c r="F1" s="2" t="s">
        <v>21</v>
      </c>
      <c r="G1" s="7"/>
    </row>
    <row r="2" spans="1:7" ht="15" customHeight="1" x14ac:dyDescent="0.25">
      <c r="A2" s="93" t="s">
        <v>36</v>
      </c>
      <c r="B2" s="94"/>
      <c r="C2" s="94"/>
      <c r="D2" s="94"/>
      <c r="E2" s="94"/>
      <c r="F2" s="95"/>
      <c r="G2" s="8" t="s">
        <v>57</v>
      </c>
    </row>
    <row r="3" spans="1:7" x14ac:dyDescent="0.25">
      <c r="A3" s="3" t="s">
        <v>5</v>
      </c>
      <c r="B3" s="18">
        <v>1.4886574074074075E-3</v>
      </c>
      <c r="C3" s="16">
        <v>2.68</v>
      </c>
      <c r="D3" s="16">
        <v>2.61</v>
      </c>
      <c r="E3" s="16">
        <v>22.998000000000001</v>
      </c>
      <c r="F3" s="4">
        <v>2.0100000000000002</v>
      </c>
      <c r="G3" s="9">
        <f>F3*1000/(E3*1000/3600)</f>
        <v>314.63605530915731</v>
      </c>
    </row>
    <row r="4" spans="1:7" x14ac:dyDescent="0.25">
      <c r="A4" s="3" t="s">
        <v>6</v>
      </c>
      <c r="B4" s="18">
        <v>9.8483796296296297E-4</v>
      </c>
      <c r="C4" s="16">
        <v>2.64</v>
      </c>
      <c r="D4" s="16">
        <v>2.57</v>
      </c>
      <c r="E4" s="16">
        <v>23.350999999999999</v>
      </c>
      <c r="F4" s="4">
        <v>1.98</v>
      </c>
      <c r="G4" s="9">
        <f>F4*1000/(E4*1000/3600)</f>
        <v>305.25459295105134</v>
      </c>
    </row>
    <row r="5" spans="1:7" x14ac:dyDescent="0.25">
      <c r="A5" s="3" t="s">
        <v>7</v>
      </c>
      <c r="B5" s="18">
        <v>9.9039351851851849E-4</v>
      </c>
      <c r="C5" s="16">
        <v>2.71</v>
      </c>
      <c r="D5" s="16">
        <v>2.64</v>
      </c>
      <c r="E5" s="20">
        <v>23.882999999999999</v>
      </c>
      <c r="F5" s="4">
        <v>2.0324999999999998</v>
      </c>
      <c r="G5" s="9">
        <f t="shared" ref="G5:G15" si="0">F5*1000/(E5*1000/3600)</f>
        <v>306.36854666499181</v>
      </c>
    </row>
    <row r="6" spans="1:7" x14ac:dyDescent="0.25">
      <c r="A6" s="3" t="s">
        <v>8</v>
      </c>
      <c r="B6" s="18">
        <v>9.8136574074074077E-4</v>
      </c>
      <c r="C6" s="16">
        <v>2.72</v>
      </c>
      <c r="D6" s="16">
        <v>2.65</v>
      </c>
      <c r="E6" s="20">
        <v>24.096</v>
      </c>
      <c r="F6" s="4">
        <v>2.04</v>
      </c>
      <c r="G6" s="9">
        <f t="shared" si="0"/>
        <v>304.78087649402391</v>
      </c>
    </row>
    <row r="7" spans="1:7" x14ac:dyDescent="0.25">
      <c r="A7" s="3" t="s">
        <v>9</v>
      </c>
      <c r="B7" s="18">
        <v>9.8182870370370373E-4</v>
      </c>
      <c r="C7" s="16">
        <v>2.72</v>
      </c>
      <c r="D7" s="16">
        <v>2.65</v>
      </c>
      <c r="E7" s="16">
        <v>24.119</v>
      </c>
      <c r="F7" s="4">
        <v>2.04</v>
      </c>
      <c r="G7" s="9">
        <f t="shared" si="0"/>
        <v>304.49023591359509</v>
      </c>
    </row>
    <row r="8" spans="1:7" x14ac:dyDescent="0.25">
      <c r="A8" s="3" t="s">
        <v>10</v>
      </c>
      <c r="B8" s="18">
        <v>9.8263888888888901E-4</v>
      </c>
      <c r="C8" s="16">
        <v>2.73</v>
      </c>
      <c r="D8" s="16">
        <v>2.66</v>
      </c>
      <c r="E8" s="16">
        <v>24.234999999999999</v>
      </c>
      <c r="F8" s="4">
        <v>2.0474999999999999</v>
      </c>
      <c r="G8" s="9">
        <f t="shared" si="0"/>
        <v>304.14689498658964</v>
      </c>
    </row>
    <row r="9" spans="1:7" x14ac:dyDescent="0.25">
      <c r="A9" s="3" t="s">
        <v>11</v>
      </c>
      <c r="B9" s="18">
        <v>9.8414351851851853E-4</v>
      </c>
      <c r="C9" s="16">
        <v>2.73</v>
      </c>
      <c r="D9" s="16">
        <v>2.66</v>
      </c>
      <c r="E9" s="16">
        <v>24.283999999999999</v>
      </c>
      <c r="F9" s="4">
        <v>2.0474999999999999</v>
      </c>
      <c r="G9" s="9">
        <f t="shared" si="0"/>
        <v>303.53319057815844</v>
      </c>
    </row>
    <row r="10" spans="1:7" x14ac:dyDescent="0.25">
      <c r="A10" s="3" t="s">
        <v>12</v>
      </c>
      <c r="B10" s="18">
        <v>9.9247685185185181E-4</v>
      </c>
      <c r="C10" s="16">
        <v>2.71</v>
      </c>
      <c r="D10" s="16">
        <v>2.64</v>
      </c>
      <c r="E10" s="16">
        <v>24.044</v>
      </c>
      <c r="F10" s="4">
        <v>2.0324999999999998</v>
      </c>
      <c r="G10" s="9">
        <f t="shared" si="0"/>
        <v>304.3170853435368</v>
      </c>
    </row>
    <row r="11" spans="1:7" x14ac:dyDescent="0.25">
      <c r="A11" s="3" t="s">
        <v>13</v>
      </c>
      <c r="B11" s="18">
        <v>9.8171296296296288E-4</v>
      </c>
      <c r="C11" s="16">
        <v>2.74</v>
      </c>
      <c r="D11" s="16">
        <v>2.67</v>
      </c>
      <c r="E11" s="16">
        <v>24.286999999999999</v>
      </c>
      <c r="F11" s="4">
        <v>2.0550000000000002</v>
      </c>
      <c r="G11" s="9">
        <f t="shared" si="0"/>
        <v>304.60740313748096</v>
      </c>
    </row>
    <row r="12" spans="1:7" x14ac:dyDescent="0.25">
      <c r="A12" s="3" t="s">
        <v>14</v>
      </c>
      <c r="B12" s="18">
        <v>9.8437500000000001E-4</v>
      </c>
      <c r="C12" s="16">
        <v>2.72</v>
      </c>
      <c r="D12" s="16">
        <v>2.65</v>
      </c>
      <c r="E12" s="16">
        <v>24.204999999999998</v>
      </c>
      <c r="F12" s="4">
        <v>2.04</v>
      </c>
      <c r="G12" s="9">
        <f t="shared" si="0"/>
        <v>303.40838669696342</v>
      </c>
    </row>
    <row r="13" spans="1:7" x14ac:dyDescent="0.25">
      <c r="A13" s="3" t="s">
        <v>15</v>
      </c>
      <c r="B13" s="18">
        <v>9.7696759259259264E-4</v>
      </c>
      <c r="C13" s="16">
        <v>2.71</v>
      </c>
      <c r="D13" s="16">
        <v>2.65</v>
      </c>
      <c r="E13" s="16">
        <v>24.236999999999998</v>
      </c>
      <c r="F13" s="4">
        <v>2.0324999999999998</v>
      </c>
      <c r="G13" s="9">
        <f t="shared" si="0"/>
        <v>301.89379873746748</v>
      </c>
    </row>
    <row r="14" spans="1:7" x14ac:dyDescent="0.25">
      <c r="A14" s="3" t="s">
        <v>16</v>
      </c>
      <c r="B14" s="18">
        <v>9.8333333333333324E-4</v>
      </c>
      <c r="C14" s="16">
        <v>2.74</v>
      </c>
      <c r="D14" s="16">
        <v>2.68</v>
      </c>
      <c r="E14" s="16">
        <v>24.152999999999999</v>
      </c>
      <c r="F14" s="4">
        <v>2.0550000000000002</v>
      </c>
      <c r="G14" s="9">
        <f t="shared" si="0"/>
        <v>306.29735436591727</v>
      </c>
    </row>
    <row r="15" spans="1:7" x14ac:dyDescent="0.25">
      <c r="A15" s="3" t="s">
        <v>17</v>
      </c>
      <c r="B15" s="18">
        <v>1.1618055555555555E-3</v>
      </c>
      <c r="C15" s="16">
        <v>1.6</v>
      </c>
      <c r="D15" s="16">
        <v>1.59</v>
      </c>
      <c r="E15" s="16">
        <v>13.6114</v>
      </c>
      <c r="F15" s="4">
        <v>1.2000000000000002</v>
      </c>
      <c r="G15" s="9">
        <f t="shared" si="0"/>
        <v>317.38101885184483</v>
      </c>
    </row>
    <row r="16" spans="1:7" x14ac:dyDescent="0.25">
      <c r="G16" s="7"/>
    </row>
    <row r="17" spans="6:7" x14ac:dyDescent="0.25">
      <c r="F17" s="10" t="s">
        <v>20</v>
      </c>
      <c r="G17" s="6">
        <f>AVERAGE(G3:G15)</f>
        <v>306.23964923313684</v>
      </c>
    </row>
  </sheetData>
  <mergeCells count="1">
    <mergeCell ref="A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339-C807-4975-BD14-253444EA2F8C}">
  <dimension ref="A1:O25"/>
  <sheetViews>
    <sheetView showGridLines="0" tabSelected="1" zoomScale="85" zoomScaleNormal="85" workbookViewId="0">
      <selection activeCell="D20" sqref="D20"/>
    </sheetView>
  </sheetViews>
  <sheetFormatPr defaultRowHeight="15" x14ac:dyDescent="0.25"/>
  <cols>
    <col min="3" max="3" width="11.42578125" customWidth="1"/>
    <col min="4" max="4" width="14.85546875" customWidth="1"/>
    <col min="5" max="6" width="14.5703125" customWidth="1"/>
    <col min="7" max="7" width="22.140625" customWidth="1"/>
    <col min="8" max="8" width="17.42578125" customWidth="1"/>
    <col min="9" max="9" width="19.28515625" customWidth="1"/>
    <col min="10" max="10" width="13.42578125" customWidth="1"/>
    <col min="11" max="11" width="13.5703125" customWidth="1"/>
    <col min="12" max="12" width="14" customWidth="1"/>
  </cols>
  <sheetData>
    <row r="1" spans="1:15" ht="45" x14ac:dyDescent="0.25">
      <c r="A1" s="13" t="s">
        <v>0</v>
      </c>
      <c r="B1" s="13" t="s">
        <v>1</v>
      </c>
      <c r="C1" s="13" t="s">
        <v>2</v>
      </c>
      <c r="D1" s="13" t="s">
        <v>23</v>
      </c>
      <c r="E1" s="13" t="s">
        <v>24</v>
      </c>
      <c r="F1" s="13" t="s">
        <v>25</v>
      </c>
      <c r="G1" s="13" t="s">
        <v>27</v>
      </c>
      <c r="H1" s="13" t="s">
        <v>21</v>
      </c>
      <c r="I1" s="13" t="s">
        <v>28</v>
      </c>
      <c r="J1" s="11" t="s">
        <v>22</v>
      </c>
      <c r="K1" s="11" t="s">
        <v>30</v>
      </c>
      <c r="L1" s="11" t="s">
        <v>31</v>
      </c>
    </row>
    <row r="2" spans="1:15" ht="15" customHeight="1" x14ac:dyDescent="0.25">
      <c r="A2" s="96" t="s">
        <v>37</v>
      </c>
      <c r="B2" s="96"/>
      <c r="C2" s="96"/>
      <c r="D2" s="96"/>
      <c r="E2" s="96"/>
      <c r="F2" s="96"/>
      <c r="G2" s="96"/>
      <c r="H2" s="96"/>
      <c r="I2" s="96"/>
      <c r="J2" s="34"/>
      <c r="K2" s="14"/>
      <c r="L2" s="14"/>
    </row>
    <row r="3" spans="1:15" x14ac:dyDescent="0.25">
      <c r="A3" s="15" t="s">
        <v>4</v>
      </c>
      <c r="B3" s="15" t="s">
        <v>38</v>
      </c>
      <c r="C3" s="18">
        <v>9.8460648148148149E-4</v>
      </c>
      <c r="D3" s="16">
        <v>2.69</v>
      </c>
      <c r="E3" s="16">
        <v>2.63</v>
      </c>
      <c r="F3" s="19">
        <f>D3/E3</f>
        <v>1.0228136882129277</v>
      </c>
      <c r="G3" s="16">
        <v>24.100999999999999</v>
      </c>
      <c r="H3" s="19">
        <f t="shared" ref="H3:H12" si="0">D3*$E$22</f>
        <v>2.0175000000000001</v>
      </c>
      <c r="I3" s="16">
        <v>25.004000000000001</v>
      </c>
      <c r="J3" s="12">
        <f t="shared" ref="J3:J12" si="1">G3/I3</f>
        <v>0.96388577827547584</v>
      </c>
      <c r="K3" s="17">
        <f>H3*1000/(I3/3600*1000)</f>
        <v>290.47352423612222</v>
      </c>
      <c r="L3" s="17">
        <f>H3*1000/(G3/3600*1000)</f>
        <v>301.35679017468158</v>
      </c>
    </row>
    <row r="4" spans="1:15" x14ac:dyDescent="0.25">
      <c r="A4" s="15" t="s">
        <v>4</v>
      </c>
      <c r="B4" s="15" t="s">
        <v>39</v>
      </c>
      <c r="C4" s="18">
        <v>9.7256944444444441E-4</v>
      </c>
      <c r="D4" s="16">
        <v>2.68</v>
      </c>
      <c r="E4" s="16">
        <v>2.62</v>
      </c>
      <c r="F4" s="19">
        <f t="shared" ref="F4:F12" si="2">D4/E4</f>
        <v>1.0229007633587786</v>
      </c>
      <c r="G4" s="16">
        <v>24.24</v>
      </c>
      <c r="H4" s="19">
        <f t="shared" si="0"/>
        <v>2.0100000000000002</v>
      </c>
      <c r="I4" s="16">
        <v>25.068000000000001</v>
      </c>
      <c r="J4" s="12">
        <f t="shared" si="1"/>
        <v>0.96696984202967917</v>
      </c>
      <c r="K4" s="17">
        <f>H4*1000/(I4/3600*1000)</f>
        <v>288.65485878410726</v>
      </c>
      <c r="L4" s="17">
        <f>H4*1000/(G4/3600*1000)</f>
        <v>298.5148514851486</v>
      </c>
    </row>
    <row r="5" spans="1:15" x14ac:dyDescent="0.25">
      <c r="A5" s="15" t="s">
        <v>4</v>
      </c>
      <c r="B5" s="15" t="s">
        <v>40</v>
      </c>
      <c r="C5" s="18">
        <v>9.7638888888888873E-4</v>
      </c>
      <c r="D5" s="16">
        <v>2.71</v>
      </c>
      <c r="E5" s="16">
        <v>2.64</v>
      </c>
      <c r="F5" s="19">
        <f t="shared" si="2"/>
        <v>1.0265151515151514</v>
      </c>
      <c r="G5" s="20">
        <v>24.285</v>
      </c>
      <c r="H5" s="19">
        <f t="shared" si="0"/>
        <v>2.0324999999999998</v>
      </c>
      <c r="I5" s="16">
        <v>25.257000000000001</v>
      </c>
      <c r="J5" s="12">
        <f t="shared" si="1"/>
        <v>0.96151561943223651</v>
      </c>
      <c r="K5" s="17">
        <f t="shared" ref="K5:K12" si="3">H5*1000/(I5/3600*1000)</f>
        <v>289.70186482955216</v>
      </c>
      <c r="L5" s="17">
        <f t="shared" ref="L5:L12" si="4">H5*1000/(G5/3600*1000)</f>
        <v>301.29709697344038</v>
      </c>
    </row>
    <row r="6" spans="1:15" x14ac:dyDescent="0.25">
      <c r="A6" s="15" t="s">
        <v>4</v>
      </c>
      <c r="B6" s="15" t="s">
        <v>41</v>
      </c>
      <c r="C6" s="18">
        <v>9.8043981481481485E-4</v>
      </c>
      <c r="D6" s="16">
        <v>2.71</v>
      </c>
      <c r="E6" s="16">
        <v>2.66</v>
      </c>
      <c r="F6" s="19">
        <f t="shared" si="2"/>
        <v>1.018796992481203</v>
      </c>
      <c r="G6" s="20">
        <v>24.198</v>
      </c>
      <c r="H6" s="19">
        <f t="shared" si="0"/>
        <v>2.0324999999999998</v>
      </c>
      <c r="I6" s="16">
        <v>25.100999999999999</v>
      </c>
      <c r="J6" s="12">
        <f t="shared" si="1"/>
        <v>0.96402533763595077</v>
      </c>
      <c r="K6" s="17">
        <f t="shared" si="3"/>
        <v>291.50233058443888</v>
      </c>
      <c r="L6" s="17">
        <f t="shared" si="4"/>
        <v>302.38036201338952</v>
      </c>
    </row>
    <row r="7" spans="1:15" x14ac:dyDescent="0.25">
      <c r="A7" s="15" t="s">
        <v>4</v>
      </c>
      <c r="B7" s="15" t="s">
        <v>42</v>
      </c>
      <c r="C7" s="18">
        <v>9.7893518518518512E-4</v>
      </c>
      <c r="D7" s="16">
        <v>2.68</v>
      </c>
      <c r="E7" s="16">
        <v>2.62</v>
      </c>
      <c r="F7" s="19">
        <f t="shared" si="2"/>
        <v>1.0229007633587786</v>
      </c>
      <c r="G7" s="16">
        <v>24.096</v>
      </c>
      <c r="H7" s="19">
        <f t="shared" si="0"/>
        <v>2.0100000000000002</v>
      </c>
      <c r="I7" s="16">
        <v>24.971</v>
      </c>
      <c r="J7" s="12">
        <f t="shared" si="1"/>
        <v>0.96495935284930523</v>
      </c>
      <c r="K7" s="17">
        <f t="shared" si="3"/>
        <v>289.77614032277444</v>
      </c>
      <c r="L7" s="17">
        <f t="shared" si="4"/>
        <v>300.29880478087654</v>
      </c>
    </row>
    <row r="8" spans="1:15" x14ac:dyDescent="0.25">
      <c r="A8" s="15" t="s">
        <v>4</v>
      </c>
      <c r="B8" s="15" t="s">
        <v>43</v>
      </c>
      <c r="C8" s="18">
        <v>9.7488425925925922E-4</v>
      </c>
      <c r="D8" s="16">
        <v>2.68</v>
      </c>
      <c r="E8" s="16">
        <v>2.63</v>
      </c>
      <c r="F8" s="19">
        <f t="shared" si="2"/>
        <v>1.0190114068441065</v>
      </c>
      <c r="G8" s="16">
        <v>24.172999999999998</v>
      </c>
      <c r="H8" s="19">
        <f t="shared" si="0"/>
        <v>2.0100000000000002</v>
      </c>
      <c r="I8" s="16">
        <v>25.091000000000001</v>
      </c>
      <c r="J8" s="12">
        <f t="shared" si="1"/>
        <v>0.96341317603921717</v>
      </c>
      <c r="K8" s="17">
        <f t="shared" si="3"/>
        <v>288.39025945558171</v>
      </c>
      <c r="L8" s="17">
        <f>H8*1000/(G8/3600*1000)</f>
        <v>299.34224134364791</v>
      </c>
    </row>
    <row r="9" spans="1:15" x14ac:dyDescent="0.25">
      <c r="A9" s="15" t="s">
        <v>4</v>
      </c>
      <c r="B9" s="15" t="s">
        <v>44</v>
      </c>
      <c r="C9" s="18">
        <v>9.7557870370370376E-4</v>
      </c>
      <c r="D9" s="16">
        <v>2.68</v>
      </c>
      <c r="E9" s="16">
        <v>2.62</v>
      </c>
      <c r="F9" s="19">
        <f t="shared" si="2"/>
        <v>1.0229007633587786</v>
      </c>
      <c r="G9" s="16">
        <v>24.077000000000002</v>
      </c>
      <c r="H9" s="19">
        <f t="shared" si="0"/>
        <v>2.0100000000000002</v>
      </c>
      <c r="I9" s="16">
        <v>24.957000000000001</v>
      </c>
      <c r="J9" s="12">
        <f t="shared" si="1"/>
        <v>0.96473935168489811</v>
      </c>
      <c r="K9" s="17">
        <f t="shared" si="3"/>
        <v>289.93869455463403</v>
      </c>
      <c r="L9" s="17">
        <f>H9*1000/(G9/3600*1000)</f>
        <v>300.53578103584334</v>
      </c>
    </row>
    <row r="10" spans="1:15" x14ac:dyDescent="0.25">
      <c r="A10" s="15" t="s">
        <v>4</v>
      </c>
      <c r="B10" s="15" t="s">
        <v>45</v>
      </c>
      <c r="C10" s="18">
        <v>9.7951388888888893E-4</v>
      </c>
      <c r="D10" s="16">
        <v>2.7</v>
      </c>
      <c r="E10" s="16">
        <v>2.65</v>
      </c>
      <c r="F10" s="19">
        <f t="shared" si="2"/>
        <v>1.0188679245283019</v>
      </c>
      <c r="G10" s="16">
        <v>24.352</v>
      </c>
      <c r="H10" s="19">
        <f t="shared" si="0"/>
        <v>2.0250000000000004</v>
      </c>
      <c r="I10" s="16">
        <v>25.25</v>
      </c>
      <c r="J10" s="12">
        <f t="shared" si="1"/>
        <v>0.9644356435643564</v>
      </c>
      <c r="K10" s="17">
        <f t="shared" si="3"/>
        <v>288.71287128712873</v>
      </c>
      <c r="L10" s="17">
        <f t="shared" si="4"/>
        <v>299.35939553219458</v>
      </c>
    </row>
    <row r="11" spans="1:15" x14ac:dyDescent="0.25">
      <c r="A11" s="15" t="s">
        <v>4</v>
      </c>
      <c r="B11" s="15" t="s">
        <v>46</v>
      </c>
      <c r="C11" s="18">
        <v>9.8020833333333337E-4</v>
      </c>
      <c r="D11" s="16">
        <v>2.7</v>
      </c>
      <c r="E11" s="16">
        <v>2.66</v>
      </c>
      <c r="F11" s="19">
        <f t="shared" si="2"/>
        <v>1.0150375939849625</v>
      </c>
      <c r="G11" s="16">
        <v>24.332999999999998</v>
      </c>
      <c r="H11" s="19">
        <f t="shared" si="0"/>
        <v>2.0250000000000004</v>
      </c>
      <c r="I11" s="16">
        <v>25.192</v>
      </c>
      <c r="J11" s="12">
        <f t="shared" si="1"/>
        <v>0.96590187361067004</v>
      </c>
      <c r="K11" s="17">
        <f t="shared" si="3"/>
        <v>289.37758018418549</v>
      </c>
      <c r="L11" s="17">
        <f t="shared" si="4"/>
        <v>299.59314511157697</v>
      </c>
    </row>
    <row r="12" spans="1:15" x14ac:dyDescent="0.25">
      <c r="A12" s="15" t="s">
        <v>4</v>
      </c>
      <c r="B12" s="15" t="s">
        <v>47</v>
      </c>
      <c r="C12" s="18">
        <v>9.7638888888888873E-4</v>
      </c>
      <c r="D12" s="16">
        <v>2.71</v>
      </c>
      <c r="E12" s="16">
        <v>2.65</v>
      </c>
      <c r="F12" s="19">
        <f t="shared" si="2"/>
        <v>1.0226415094339623</v>
      </c>
      <c r="G12" s="16">
        <v>24.245999999999999</v>
      </c>
      <c r="H12" s="19">
        <f t="shared" si="0"/>
        <v>2.0324999999999998</v>
      </c>
      <c r="I12" s="16">
        <v>25.155000000000001</v>
      </c>
      <c r="J12" s="12">
        <f t="shared" si="1"/>
        <v>0.96386404293381023</v>
      </c>
      <c r="K12" s="17">
        <f t="shared" si="3"/>
        <v>290.87656529516988</v>
      </c>
      <c r="L12" s="17">
        <f t="shared" si="4"/>
        <v>301.78173719376389</v>
      </c>
    </row>
    <row r="13" spans="1:15" ht="15.75" thickBot="1" x14ac:dyDescent="0.3"/>
    <row r="14" spans="1:15" ht="15.75" thickBot="1" x14ac:dyDescent="0.3">
      <c r="D14" s="28">
        <f t="shared" ref="D14:L14" si="5">AVERAGE(D3:D12)</f>
        <v>2.694</v>
      </c>
      <c r="E14" s="29">
        <f t="shared" si="5"/>
        <v>2.6379999999999999</v>
      </c>
      <c r="F14" s="29">
        <f t="shared" si="5"/>
        <v>1.0212386557076951</v>
      </c>
      <c r="G14" s="30">
        <f t="shared" si="5"/>
        <v>24.210100000000001</v>
      </c>
      <c r="H14" s="29">
        <f t="shared" si="5"/>
        <v>2.0204999999999997</v>
      </c>
      <c r="I14" s="30">
        <f t="shared" si="5"/>
        <v>25.104600000000001</v>
      </c>
      <c r="J14" s="31">
        <f t="shared" si="5"/>
        <v>0.96437100180556001</v>
      </c>
      <c r="K14" s="32">
        <f t="shared" si="5"/>
        <v>289.74046895336943</v>
      </c>
      <c r="L14" s="32">
        <f t="shared" si="5"/>
        <v>300.44602056445632</v>
      </c>
      <c r="M14" s="33" t="s">
        <v>20</v>
      </c>
    </row>
    <row r="15" spans="1:15" ht="15.75" thickBot="1" x14ac:dyDescent="0.3">
      <c r="D15" s="24">
        <f>SUM(D3:D12)</f>
        <v>26.939999999999998</v>
      </c>
      <c r="E15" s="25">
        <f>SUM(E3:E12)</f>
        <v>26.38</v>
      </c>
      <c r="F15" s="35"/>
      <c r="G15" s="25">
        <f>SUM(G3:G12)</f>
        <v>242.101</v>
      </c>
      <c r="H15" s="26">
        <f>SUM(H3:H12)</f>
        <v>20.204999999999998</v>
      </c>
      <c r="I15" s="25">
        <f>SUM(I3:I12)</f>
        <v>251.04600000000002</v>
      </c>
      <c r="J15" s="35"/>
      <c r="K15" s="35"/>
      <c r="L15" s="35"/>
      <c r="M15" s="27" t="s">
        <v>26</v>
      </c>
    </row>
    <row r="16" spans="1:15" x14ac:dyDescent="0.25">
      <c r="D16" s="97">
        <f>D15*($E$25/$E$24)</f>
        <v>109.66327637698897</v>
      </c>
      <c r="E16" s="99">
        <f>E15*($E$25/$E$24)</f>
        <v>107.38371309669522</v>
      </c>
      <c r="F16" s="99"/>
      <c r="G16" s="99">
        <f>G15*($E$25/$E$24)</f>
        <v>985.50812450428396</v>
      </c>
      <c r="H16" s="99">
        <f>H15*($E$25/$E$24)</f>
        <v>82.247457282741735</v>
      </c>
      <c r="I16" s="99">
        <f>I15*($E$25/$E$24)</f>
        <v>1021.920077258262</v>
      </c>
      <c r="J16" s="103"/>
      <c r="K16" s="103"/>
      <c r="L16" s="103"/>
      <c r="M16" s="105" t="s">
        <v>34</v>
      </c>
      <c r="N16" s="105"/>
      <c r="O16" s="106"/>
    </row>
    <row r="17" spans="3:15" ht="15.75" thickBot="1" x14ac:dyDescent="0.3">
      <c r="D17" s="98"/>
      <c r="E17" s="100"/>
      <c r="F17" s="100"/>
      <c r="G17" s="100"/>
      <c r="H17" s="100"/>
      <c r="I17" s="100"/>
      <c r="J17" s="104"/>
      <c r="K17" s="104"/>
      <c r="L17" s="104"/>
      <c r="M17" s="107"/>
      <c r="N17" s="107"/>
      <c r="O17" s="108"/>
    </row>
    <row r="18" spans="3:15" s="36" customFormat="1" ht="15" customHeight="1" x14ac:dyDescent="0.25">
      <c r="D18" s="115">
        <f>H18/$E$22</f>
        <v>111.27630391276161</v>
      </c>
      <c r="E18" s="101"/>
      <c r="F18" s="101"/>
      <c r="G18" s="117">
        <v>1000</v>
      </c>
      <c r="H18" s="101">
        <f>(G18*1000/3600)*$L$14/1000</f>
        <v>83.457227934571208</v>
      </c>
      <c r="I18" s="101"/>
      <c r="J18" s="119"/>
      <c r="K18" s="119"/>
      <c r="L18" s="119"/>
      <c r="M18" s="105" t="s">
        <v>35</v>
      </c>
      <c r="N18" s="105"/>
      <c r="O18" s="106"/>
    </row>
    <row r="19" spans="3:15" s="36" customFormat="1" ht="15.75" thickBot="1" x14ac:dyDescent="0.3">
      <c r="D19" s="116"/>
      <c r="E19" s="102"/>
      <c r="F19" s="102"/>
      <c r="G19" s="118"/>
      <c r="H19" s="102"/>
      <c r="I19" s="102"/>
      <c r="J19" s="120"/>
      <c r="K19" s="120"/>
      <c r="L19" s="120"/>
      <c r="M19" s="107"/>
      <c r="N19" s="107"/>
      <c r="O19" s="108"/>
    </row>
    <row r="21" spans="3:15" ht="15.75" thickBot="1" x14ac:dyDescent="0.3"/>
    <row r="22" spans="3:15" ht="15.75" thickBot="1" x14ac:dyDescent="0.3">
      <c r="C22" s="113" t="s">
        <v>29</v>
      </c>
      <c r="D22" s="114"/>
      <c r="E22" s="21">
        <v>0.75</v>
      </c>
    </row>
    <row r="23" spans="3:15" ht="15.75" thickBot="1" x14ac:dyDescent="0.3"/>
    <row r="24" spans="3:15" x14ac:dyDescent="0.25">
      <c r="C24" s="111" t="s">
        <v>32</v>
      </c>
      <c r="D24" s="112"/>
      <c r="E24" s="22">
        <f>4.085*10</f>
        <v>40.85</v>
      </c>
    </row>
    <row r="25" spans="3:15" ht="15.75" thickBot="1" x14ac:dyDescent="0.3">
      <c r="C25" s="109" t="s">
        <v>33</v>
      </c>
      <c r="D25" s="110"/>
      <c r="E25" s="23">
        <f>13.63*12.2</f>
        <v>166.286</v>
      </c>
    </row>
  </sheetData>
  <mergeCells count="24">
    <mergeCell ref="C25:D25"/>
    <mergeCell ref="C24:D24"/>
    <mergeCell ref="C22:D22"/>
    <mergeCell ref="D18:D19"/>
    <mergeCell ref="E18:E19"/>
    <mergeCell ref="F18:F19"/>
    <mergeCell ref="J16:J17"/>
    <mergeCell ref="K16:K17"/>
    <mergeCell ref="L16:L17"/>
    <mergeCell ref="M16:O17"/>
    <mergeCell ref="M18:O19"/>
    <mergeCell ref="G18:G19"/>
    <mergeCell ref="H18:H19"/>
    <mergeCell ref="I18:I19"/>
    <mergeCell ref="J18:J19"/>
    <mergeCell ref="K18:K19"/>
    <mergeCell ref="L18:L19"/>
    <mergeCell ref="A2:I2"/>
    <mergeCell ref="D16:D17"/>
    <mergeCell ref="E16:E17"/>
    <mergeCell ref="F16:F17"/>
    <mergeCell ref="G16:G17"/>
    <mergeCell ref="H16:H17"/>
    <mergeCell ref="I16:I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C49-68CB-451B-9D07-EC30E3906C09}">
  <dimension ref="A1:O46"/>
  <sheetViews>
    <sheetView showGridLines="0" zoomScale="70" zoomScaleNormal="70" workbookViewId="0">
      <selection activeCell="L3" sqref="L3:L15"/>
    </sheetView>
  </sheetViews>
  <sheetFormatPr defaultRowHeight="15" x14ac:dyDescent="0.25"/>
  <cols>
    <col min="1" max="2" width="9.140625" style="36"/>
    <col min="3" max="3" width="36.7109375" style="36" customWidth="1"/>
    <col min="4" max="4" width="17.28515625" style="36" customWidth="1"/>
    <col min="5" max="5" width="24.42578125" style="36" bestFit="1" customWidth="1"/>
    <col min="6" max="6" width="16.7109375" style="36" bestFit="1" customWidth="1"/>
    <col min="7" max="7" width="22.140625" style="36" customWidth="1"/>
    <col min="8" max="8" width="17.42578125" style="36" customWidth="1"/>
    <col min="9" max="9" width="19.28515625" style="36" customWidth="1"/>
    <col min="10" max="10" width="13.42578125" style="36" customWidth="1"/>
    <col min="11" max="11" width="13.5703125" style="36" customWidth="1"/>
    <col min="12" max="12" width="14" style="36" customWidth="1"/>
    <col min="13" max="13" width="11.140625" style="36" bestFit="1" customWidth="1"/>
    <col min="14" max="16384" width="9.140625" style="36"/>
  </cols>
  <sheetData>
    <row r="1" spans="1:12" ht="45" x14ac:dyDescent="0.25">
      <c r="A1" s="13" t="s">
        <v>0</v>
      </c>
      <c r="B1" s="13" t="s">
        <v>1</v>
      </c>
      <c r="C1" s="13" t="s">
        <v>2</v>
      </c>
      <c r="D1" s="13" t="s">
        <v>23</v>
      </c>
      <c r="E1" s="13" t="s">
        <v>24</v>
      </c>
      <c r="F1" s="13" t="s">
        <v>25</v>
      </c>
      <c r="G1" s="13" t="s">
        <v>27</v>
      </c>
      <c r="H1" s="13" t="s">
        <v>21</v>
      </c>
      <c r="I1" s="13" t="s">
        <v>28</v>
      </c>
      <c r="J1" s="11" t="s">
        <v>22</v>
      </c>
      <c r="K1" s="11" t="s">
        <v>30</v>
      </c>
      <c r="L1" s="11" t="s">
        <v>31</v>
      </c>
    </row>
    <row r="2" spans="1:12" ht="15" customHeight="1" x14ac:dyDescent="0.25">
      <c r="A2" s="34"/>
      <c r="B2" s="129" t="s">
        <v>36</v>
      </c>
      <c r="C2" s="130"/>
      <c r="D2" s="130"/>
      <c r="E2" s="130"/>
      <c r="F2" s="130"/>
      <c r="G2" s="130"/>
      <c r="H2" s="130"/>
      <c r="I2" s="131"/>
      <c r="J2" s="34"/>
      <c r="K2" s="37"/>
      <c r="L2" s="37"/>
    </row>
    <row r="3" spans="1:12" x14ac:dyDescent="0.25">
      <c r="A3" s="15" t="s">
        <v>4</v>
      </c>
      <c r="B3" s="15" t="s">
        <v>5</v>
      </c>
      <c r="C3" s="18">
        <v>1.4886574074074075E-3</v>
      </c>
      <c r="D3" s="15">
        <v>2.68</v>
      </c>
      <c r="E3" s="15">
        <v>2.61</v>
      </c>
      <c r="F3" s="38">
        <f>D3/E3</f>
        <v>1.0268199233716475</v>
      </c>
      <c r="G3" s="15">
        <v>22.998000000000001</v>
      </c>
      <c r="H3" s="38">
        <f t="shared" ref="H3:H15" si="0">D3*$E$17</f>
        <v>2.0100000000000002</v>
      </c>
      <c r="I3" s="15">
        <v>24.117999999999999</v>
      </c>
      <c r="J3" s="39">
        <f>G3/I3</f>
        <v>0.9535616551952899</v>
      </c>
      <c r="K3" s="40">
        <f>H3*1000/(I3/3600*1000)</f>
        <v>300.0248776847169</v>
      </c>
      <c r="L3" s="40">
        <f>H3*1000/(G3/3600*1000)</f>
        <v>314.63605530915731</v>
      </c>
    </row>
    <row r="4" spans="1:12" x14ac:dyDescent="0.25">
      <c r="A4" s="15" t="s">
        <v>4</v>
      </c>
      <c r="B4" s="15" t="s">
        <v>6</v>
      </c>
      <c r="C4" s="18">
        <v>9.8483796296296297E-4</v>
      </c>
      <c r="D4" s="15">
        <v>2.64</v>
      </c>
      <c r="E4" s="15">
        <v>2.57</v>
      </c>
      <c r="F4" s="38">
        <f>D4/E4</f>
        <v>1.0272373540856032</v>
      </c>
      <c r="G4" s="15">
        <v>23.350999999999999</v>
      </c>
      <c r="H4" s="38">
        <f t="shared" si="0"/>
        <v>1.98</v>
      </c>
      <c r="I4" s="15">
        <v>24.19</v>
      </c>
      <c r="J4" s="39">
        <f t="shared" ref="J4:J15" si="1">G4/I4</f>
        <v>0.96531624638280267</v>
      </c>
      <c r="K4" s="40">
        <f t="shared" ref="K4:K15" si="2">H4*1000/(I4/3600*1000)</f>
        <v>294.66721785861927</v>
      </c>
      <c r="L4" s="40">
        <f t="shared" ref="L4:L15" si="3">H4*1000/(G4/3600*1000)</f>
        <v>305.25459295105134</v>
      </c>
    </row>
    <row r="5" spans="1:12" x14ac:dyDescent="0.25">
      <c r="A5" s="15" t="s">
        <v>4</v>
      </c>
      <c r="B5" s="15" t="s">
        <v>7</v>
      </c>
      <c r="C5" s="18">
        <v>9.9039351851851849E-4</v>
      </c>
      <c r="D5" s="15">
        <v>2.71</v>
      </c>
      <c r="E5" s="15">
        <v>2.64</v>
      </c>
      <c r="F5" s="38">
        <f>D5/E5</f>
        <v>1.0265151515151514</v>
      </c>
      <c r="G5" s="41">
        <v>23.882999999999999</v>
      </c>
      <c r="H5" s="38">
        <f t="shared" si="0"/>
        <v>2.0324999999999998</v>
      </c>
      <c r="I5" s="41">
        <v>24.748999999999999</v>
      </c>
      <c r="J5" s="39">
        <f t="shared" si="1"/>
        <v>0.96500868721968569</v>
      </c>
      <c r="K5" s="40">
        <f t="shared" si="2"/>
        <v>295.64830902258672</v>
      </c>
      <c r="L5" s="40">
        <f t="shared" si="3"/>
        <v>306.36854666499181</v>
      </c>
    </row>
    <row r="6" spans="1:12" x14ac:dyDescent="0.25">
      <c r="A6" s="15" t="s">
        <v>4</v>
      </c>
      <c r="B6" s="15" t="s">
        <v>8</v>
      </c>
      <c r="C6" s="18">
        <v>9.8136574074074077E-4</v>
      </c>
      <c r="D6" s="15">
        <v>2.72</v>
      </c>
      <c r="E6" s="15">
        <v>2.65</v>
      </c>
      <c r="F6" s="38">
        <f t="shared" ref="F6:F15" si="4">D6/E6</f>
        <v>1.0264150943396229</v>
      </c>
      <c r="G6" s="41">
        <v>24.096</v>
      </c>
      <c r="H6" s="38">
        <f t="shared" si="0"/>
        <v>2.04</v>
      </c>
      <c r="I6" s="41">
        <v>24.957999999999998</v>
      </c>
      <c r="J6" s="39">
        <f t="shared" si="1"/>
        <v>0.96546197611988149</v>
      </c>
      <c r="K6" s="40">
        <f t="shared" si="2"/>
        <v>294.25434730346984</v>
      </c>
      <c r="L6" s="40">
        <f t="shared" si="3"/>
        <v>304.78087649402391</v>
      </c>
    </row>
    <row r="7" spans="1:12" x14ac:dyDescent="0.25">
      <c r="A7" s="15" t="s">
        <v>4</v>
      </c>
      <c r="B7" s="15" t="s">
        <v>9</v>
      </c>
      <c r="C7" s="18">
        <v>9.8182870370370373E-4</v>
      </c>
      <c r="D7" s="15">
        <v>2.72</v>
      </c>
      <c r="E7" s="15">
        <v>2.65</v>
      </c>
      <c r="F7" s="38">
        <f t="shared" si="4"/>
        <v>1.0264150943396229</v>
      </c>
      <c r="G7" s="15">
        <v>24.119</v>
      </c>
      <c r="H7" s="38">
        <f t="shared" si="0"/>
        <v>2.04</v>
      </c>
      <c r="I7" s="15">
        <v>24.867000000000001</v>
      </c>
      <c r="J7" s="39">
        <f t="shared" si="1"/>
        <v>0.96991997426307952</v>
      </c>
      <c r="K7" s="40">
        <f t="shared" si="2"/>
        <v>295.33116178067314</v>
      </c>
      <c r="L7" s="40">
        <f t="shared" si="3"/>
        <v>304.49023591359509</v>
      </c>
    </row>
    <row r="8" spans="1:12" x14ac:dyDescent="0.25">
      <c r="A8" s="15" t="s">
        <v>4</v>
      </c>
      <c r="B8" s="15" t="s">
        <v>10</v>
      </c>
      <c r="C8" s="18">
        <v>9.8263888888888901E-4</v>
      </c>
      <c r="D8" s="15">
        <v>2.73</v>
      </c>
      <c r="E8" s="15">
        <v>2.66</v>
      </c>
      <c r="F8" s="38">
        <f t="shared" si="4"/>
        <v>1.0263157894736841</v>
      </c>
      <c r="G8" s="15">
        <v>24.234999999999999</v>
      </c>
      <c r="H8" s="38">
        <f t="shared" si="0"/>
        <v>2.0474999999999999</v>
      </c>
      <c r="I8" s="15">
        <v>25.006</v>
      </c>
      <c r="J8" s="39">
        <f t="shared" si="1"/>
        <v>0.96916739982404221</v>
      </c>
      <c r="K8" s="40">
        <f t="shared" si="2"/>
        <v>294.76925537870903</v>
      </c>
      <c r="L8" s="40">
        <f t="shared" si="3"/>
        <v>304.14689498658964</v>
      </c>
    </row>
    <row r="9" spans="1:12" x14ac:dyDescent="0.25">
      <c r="A9" s="15" t="s">
        <v>4</v>
      </c>
      <c r="B9" s="15" t="s">
        <v>11</v>
      </c>
      <c r="C9" s="18">
        <v>9.8414351851851853E-4</v>
      </c>
      <c r="D9" s="15">
        <v>2.73</v>
      </c>
      <c r="E9" s="15">
        <v>2.66</v>
      </c>
      <c r="F9" s="38">
        <f t="shared" si="4"/>
        <v>1.0263157894736841</v>
      </c>
      <c r="G9" s="15">
        <v>24.283999999999999</v>
      </c>
      <c r="H9" s="38">
        <f t="shared" si="0"/>
        <v>2.0474999999999999</v>
      </c>
      <c r="I9" s="15">
        <v>25.151</v>
      </c>
      <c r="J9" s="39">
        <f t="shared" si="1"/>
        <v>0.96552820961393182</v>
      </c>
      <c r="K9" s="40">
        <f t="shared" si="2"/>
        <v>293.06985805733365</v>
      </c>
      <c r="L9" s="40">
        <f t="shared" si="3"/>
        <v>303.53319057815844</v>
      </c>
    </row>
    <row r="10" spans="1:12" x14ac:dyDescent="0.25">
      <c r="A10" s="15" t="s">
        <v>4</v>
      </c>
      <c r="B10" s="15" t="s">
        <v>12</v>
      </c>
      <c r="C10" s="18">
        <v>9.9247685185185181E-4</v>
      </c>
      <c r="D10" s="15">
        <v>2.71</v>
      </c>
      <c r="E10" s="15">
        <v>2.64</v>
      </c>
      <c r="F10" s="38">
        <f t="shared" si="4"/>
        <v>1.0265151515151514</v>
      </c>
      <c r="G10" s="15">
        <v>24.044</v>
      </c>
      <c r="H10" s="38">
        <f t="shared" si="0"/>
        <v>2.0324999999999998</v>
      </c>
      <c r="I10" s="15">
        <v>24.763000000000002</v>
      </c>
      <c r="J10" s="39">
        <f t="shared" si="1"/>
        <v>0.97096474579008996</v>
      </c>
      <c r="K10" s="40">
        <f t="shared" si="2"/>
        <v>295.48116141016834</v>
      </c>
      <c r="L10" s="40">
        <f t="shared" si="3"/>
        <v>304.31708534353686</v>
      </c>
    </row>
    <row r="11" spans="1:12" x14ac:dyDescent="0.25">
      <c r="A11" s="15" t="s">
        <v>4</v>
      </c>
      <c r="B11" s="15" t="s">
        <v>13</v>
      </c>
      <c r="C11" s="18">
        <v>9.8171296296296288E-4</v>
      </c>
      <c r="D11" s="15">
        <v>2.74</v>
      </c>
      <c r="E11" s="15">
        <v>2.67</v>
      </c>
      <c r="F11" s="38">
        <f t="shared" si="4"/>
        <v>1.0262172284644195</v>
      </c>
      <c r="G11" s="15">
        <v>24.286999999999999</v>
      </c>
      <c r="H11" s="38">
        <f t="shared" si="0"/>
        <v>2.0550000000000002</v>
      </c>
      <c r="I11" s="15">
        <v>24.981000000000002</v>
      </c>
      <c r="J11" s="39">
        <f t="shared" si="1"/>
        <v>0.97221888635362863</v>
      </c>
      <c r="K11" s="40">
        <f t="shared" si="2"/>
        <v>296.14507025339259</v>
      </c>
      <c r="L11" s="40">
        <f t="shared" si="3"/>
        <v>304.60740313748096</v>
      </c>
    </row>
    <row r="12" spans="1:12" x14ac:dyDescent="0.25">
      <c r="A12" s="15" t="s">
        <v>4</v>
      </c>
      <c r="B12" s="15" t="s">
        <v>14</v>
      </c>
      <c r="C12" s="18">
        <v>9.8437500000000001E-4</v>
      </c>
      <c r="D12" s="15">
        <v>2.72</v>
      </c>
      <c r="E12" s="15">
        <v>2.65</v>
      </c>
      <c r="F12" s="38">
        <f t="shared" si="4"/>
        <v>1.0264150943396229</v>
      </c>
      <c r="G12" s="15">
        <v>24.204999999999998</v>
      </c>
      <c r="H12" s="38">
        <f t="shared" si="0"/>
        <v>2.04</v>
      </c>
      <c r="I12" s="15">
        <v>24.870999999999999</v>
      </c>
      <c r="J12" s="39">
        <f t="shared" si="1"/>
        <v>0.9732218246150135</v>
      </c>
      <c r="K12" s="40">
        <f t="shared" si="2"/>
        <v>295.28366370471633</v>
      </c>
      <c r="L12" s="40">
        <f t="shared" si="3"/>
        <v>303.40838669696348</v>
      </c>
    </row>
    <row r="13" spans="1:12" x14ac:dyDescent="0.25">
      <c r="A13" s="15" t="s">
        <v>4</v>
      </c>
      <c r="B13" s="15" t="s">
        <v>15</v>
      </c>
      <c r="C13" s="18">
        <v>9.7696759259259264E-4</v>
      </c>
      <c r="D13" s="15">
        <v>2.71</v>
      </c>
      <c r="E13" s="15">
        <v>2.65</v>
      </c>
      <c r="F13" s="38">
        <f t="shared" si="4"/>
        <v>1.0226415094339623</v>
      </c>
      <c r="G13" s="15">
        <v>24.236999999999998</v>
      </c>
      <c r="H13" s="38">
        <f t="shared" si="0"/>
        <v>2.0324999999999998</v>
      </c>
      <c r="I13" s="15">
        <v>24.962</v>
      </c>
      <c r="J13" s="39">
        <f t="shared" si="1"/>
        <v>0.97095585289640252</v>
      </c>
      <c r="K13" s="40">
        <f t="shared" si="2"/>
        <v>293.12555083727267</v>
      </c>
      <c r="L13" s="40">
        <f t="shared" si="3"/>
        <v>301.89379873746748</v>
      </c>
    </row>
    <row r="14" spans="1:12" x14ac:dyDescent="0.25">
      <c r="A14" s="15" t="s">
        <v>4</v>
      </c>
      <c r="B14" s="15" t="s">
        <v>16</v>
      </c>
      <c r="C14" s="18">
        <v>9.8333333333333324E-4</v>
      </c>
      <c r="D14" s="15">
        <v>2.74</v>
      </c>
      <c r="E14" s="15">
        <v>2.68</v>
      </c>
      <c r="F14" s="38">
        <f t="shared" si="4"/>
        <v>1.0223880597014925</v>
      </c>
      <c r="G14" s="15">
        <v>24.152999999999999</v>
      </c>
      <c r="H14" s="38">
        <f t="shared" si="0"/>
        <v>2.0550000000000002</v>
      </c>
      <c r="I14" s="15">
        <v>24.957999999999998</v>
      </c>
      <c r="J14" s="39">
        <f t="shared" si="1"/>
        <v>0.96774581296578255</v>
      </c>
      <c r="K14" s="40">
        <f t="shared" si="2"/>
        <v>296.417982210113</v>
      </c>
      <c r="L14" s="40">
        <f t="shared" si="3"/>
        <v>306.29735436591727</v>
      </c>
    </row>
    <row r="15" spans="1:12" x14ac:dyDescent="0.25">
      <c r="A15" s="15" t="s">
        <v>4</v>
      </c>
      <c r="B15" s="15" t="s">
        <v>17</v>
      </c>
      <c r="C15" s="18">
        <v>1.1618055555555555E-3</v>
      </c>
      <c r="D15" s="15">
        <v>1.6</v>
      </c>
      <c r="E15" s="15">
        <v>1.59</v>
      </c>
      <c r="F15" s="38">
        <f t="shared" si="4"/>
        <v>1.0062893081761006</v>
      </c>
      <c r="G15" s="15">
        <v>13.6114</v>
      </c>
      <c r="H15" s="38">
        <f t="shared" si="0"/>
        <v>1.2000000000000002</v>
      </c>
      <c r="I15" s="15">
        <v>14.052</v>
      </c>
      <c r="J15" s="39">
        <f t="shared" si="1"/>
        <v>0.96864503273555369</v>
      </c>
      <c r="K15" s="40">
        <f t="shared" si="2"/>
        <v>307.42954739538862</v>
      </c>
      <c r="L15" s="40">
        <f t="shared" si="3"/>
        <v>317.38101885184483</v>
      </c>
    </row>
    <row r="16" spans="1:12" ht="15.75" thickBot="1" x14ac:dyDescent="0.3"/>
    <row r="17" spans="3:15" ht="15.75" thickBot="1" x14ac:dyDescent="0.3">
      <c r="C17" s="132" t="s">
        <v>29</v>
      </c>
      <c r="D17" s="133"/>
      <c r="E17" s="42">
        <v>0.75</v>
      </c>
      <c r="J17" s="43" t="s">
        <v>48</v>
      </c>
      <c r="K17" s="44">
        <f>AVERAGE(K3:K15)</f>
        <v>296.28061560747381</v>
      </c>
      <c r="L17" s="45">
        <f>AVERAGE(L3:L15)</f>
        <v>306.23964923313684</v>
      </c>
    </row>
    <row r="20" spans="3:15" ht="15.75" thickBot="1" x14ac:dyDescent="0.3"/>
    <row r="21" spans="3:15" ht="15.75" customHeight="1" thickBot="1" x14ac:dyDescent="0.3">
      <c r="C21" s="89">
        <f>AVERAGE(C4:C14)</f>
        <v>9.8400673400673381E-4</v>
      </c>
      <c r="D21" s="46">
        <f t="shared" ref="D21:L21" si="5">AVERAGE(D3:D15)</f>
        <v>2.6269230769230774</v>
      </c>
      <c r="E21" s="47">
        <f t="shared" si="5"/>
        <v>2.563076923076923</v>
      </c>
      <c r="F21" s="47">
        <f t="shared" si="5"/>
        <v>1.0243461960176741</v>
      </c>
      <c r="G21" s="48">
        <f t="shared" si="5"/>
        <v>23.192569230769234</v>
      </c>
      <c r="H21" s="47">
        <f t="shared" si="5"/>
        <v>1.9701923076923071</v>
      </c>
      <c r="I21" s="48">
        <f t="shared" si="5"/>
        <v>23.971230769230775</v>
      </c>
      <c r="J21" s="49">
        <f t="shared" si="5"/>
        <v>0.96751663876732164</v>
      </c>
      <c r="K21" s="50">
        <f t="shared" si="5"/>
        <v>296.28061560747381</v>
      </c>
      <c r="L21" s="50">
        <f t="shared" si="5"/>
        <v>306.23964923313684</v>
      </c>
      <c r="M21" s="51" t="s">
        <v>20</v>
      </c>
    </row>
    <row r="22" spans="3:15" ht="15.75" thickBot="1" x14ac:dyDescent="0.3">
      <c r="D22" s="52">
        <f>SUM(D3:D15)</f>
        <v>34.150000000000006</v>
      </c>
      <c r="E22" s="53">
        <f>SUM(E3:E15)</f>
        <v>33.32</v>
      </c>
      <c r="F22" s="54"/>
      <c r="G22" s="53">
        <f>SUM(G3:G15)</f>
        <v>301.50340000000006</v>
      </c>
      <c r="H22" s="55">
        <f>SUM(H3:H15)</f>
        <v>25.612499999999994</v>
      </c>
      <c r="I22" s="53">
        <f>SUM(I3:I15)</f>
        <v>311.62600000000009</v>
      </c>
      <c r="J22" s="54"/>
      <c r="K22" s="54"/>
      <c r="L22" s="54"/>
      <c r="M22" s="56" t="s">
        <v>26</v>
      </c>
    </row>
    <row r="23" spans="3:15" x14ac:dyDescent="0.25">
      <c r="D23" s="115">
        <f>D22*($E$31/$E$30)</f>
        <v>140.15210159118732</v>
      </c>
      <c r="E23" s="101">
        <f>E22*($E$31/$E$30)</f>
        <v>136.74576940024482</v>
      </c>
      <c r="F23" s="101"/>
      <c r="G23" s="101">
        <f>G22*($E$31/$E$30)</f>
        <v>1237.3743820465122</v>
      </c>
      <c r="H23" s="101">
        <f>H22*($E$31/$E$30)</f>
        <v>105.11407619339045</v>
      </c>
      <c r="I23" s="101">
        <f>I22*($E$31/$E$30)</f>
        <v>1278.9176811260716</v>
      </c>
      <c r="J23" s="119"/>
      <c r="K23" s="119"/>
      <c r="L23" s="119"/>
      <c r="M23" s="136" t="s">
        <v>34</v>
      </c>
      <c r="N23" s="136"/>
      <c r="O23" s="137"/>
    </row>
    <row r="24" spans="3:15" ht="15.75" thickBot="1" x14ac:dyDescent="0.3">
      <c r="D24" s="116"/>
      <c r="E24" s="102"/>
      <c r="F24" s="102"/>
      <c r="G24" s="102"/>
      <c r="H24" s="102"/>
      <c r="I24" s="102"/>
      <c r="J24" s="120"/>
      <c r="K24" s="120"/>
      <c r="L24" s="120"/>
      <c r="M24" s="138"/>
      <c r="N24" s="138"/>
      <c r="O24" s="139"/>
    </row>
    <row r="25" spans="3:15" ht="15" customHeight="1" x14ac:dyDescent="0.25">
      <c r="D25" s="115">
        <f>H25/$E$17</f>
        <v>113.42209230856919</v>
      </c>
      <c r="E25" s="101">
        <f>D25/($F$21)</f>
        <v>110.7263274364834</v>
      </c>
      <c r="F25" s="101"/>
      <c r="G25" s="117">
        <v>1000</v>
      </c>
      <c r="H25" s="101">
        <f>(G25*1000/3600)*$L$21/1000</f>
        <v>85.066569231426897</v>
      </c>
      <c r="I25" s="101">
        <f>G25/$J$21</f>
        <v>1033.5739561792593</v>
      </c>
      <c r="J25" s="119"/>
      <c r="K25" s="119"/>
      <c r="L25" s="119"/>
      <c r="M25" s="105" t="s">
        <v>35</v>
      </c>
      <c r="N25" s="105"/>
      <c r="O25" s="106"/>
    </row>
    <row r="26" spans="3:15" ht="15.75" thickBot="1" x14ac:dyDescent="0.3">
      <c r="D26" s="116"/>
      <c r="E26" s="102"/>
      <c r="F26" s="102"/>
      <c r="G26" s="118"/>
      <c r="H26" s="102"/>
      <c r="I26" s="102"/>
      <c r="J26" s="120"/>
      <c r="K26" s="120"/>
      <c r="L26" s="120"/>
      <c r="M26" s="107"/>
      <c r="N26" s="107"/>
      <c r="O26" s="108"/>
    </row>
    <row r="27" spans="3:15" x14ac:dyDescent="0.25">
      <c r="F27" s="57" t="s">
        <v>49</v>
      </c>
      <c r="G27" s="58">
        <f>E37*12.3</f>
        <v>311.19000000000005</v>
      </c>
    </row>
    <row r="29" spans="3:15" ht="15.75" thickBot="1" x14ac:dyDescent="0.3"/>
    <row r="30" spans="3:15" x14ac:dyDescent="0.25">
      <c r="C30" s="140" t="s">
        <v>32</v>
      </c>
      <c r="D30" s="141"/>
      <c r="E30" s="59">
        <f>4.085*10</f>
        <v>40.85</v>
      </c>
    </row>
    <row r="31" spans="3:15" ht="15.75" thickBot="1" x14ac:dyDescent="0.3">
      <c r="C31" s="134" t="s">
        <v>50</v>
      </c>
      <c r="D31" s="135"/>
      <c r="E31" s="60">
        <f>13.63*12.3</f>
        <v>167.64900000000003</v>
      </c>
    </row>
    <row r="34" spans="2:10" ht="45" x14ac:dyDescent="0.25">
      <c r="B34" s="142" t="s">
        <v>51</v>
      </c>
      <c r="C34" s="143"/>
      <c r="D34" s="64" t="s">
        <v>2</v>
      </c>
      <c r="E34" s="13" t="s">
        <v>27</v>
      </c>
      <c r="F34" s="61" t="s">
        <v>52</v>
      </c>
      <c r="G34" s="62" t="s">
        <v>53</v>
      </c>
      <c r="H34" s="62" t="s">
        <v>54</v>
      </c>
      <c r="I34" s="61" t="s">
        <v>55</v>
      </c>
      <c r="J34" s="65" t="s">
        <v>65</v>
      </c>
    </row>
    <row r="35" spans="2:10" x14ac:dyDescent="0.25">
      <c r="B35" s="125" t="s">
        <v>66</v>
      </c>
      <c r="C35" s="126"/>
      <c r="D35" s="66"/>
      <c r="E35" s="67"/>
      <c r="F35" s="68"/>
      <c r="G35" s="69"/>
      <c r="H35" s="69"/>
      <c r="I35" s="68"/>
      <c r="J35" s="70"/>
    </row>
    <row r="36" spans="2:10" x14ac:dyDescent="0.25">
      <c r="B36" s="121" t="s">
        <v>59</v>
      </c>
      <c r="C36" s="122"/>
      <c r="D36" s="71">
        <v>9.6250000000000014E-4</v>
      </c>
      <c r="E36" s="72">
        <f>12.7+12.3</f>
        <v>25</v>
      </c>
      <c r="F36" s="73">
        <f>((E36/$G$21)-1)</f>
        <v>7.7931459479395393E-2</v>
      </c>
      <c r="G36" s="74">
        <f>(E36*1000/3600)*$L$17/1000</f>
        <v>2.1266642307856727</v>
      </c>
      <c r="H36" s="74">
        <f>G36/$E$17</f>
        <v>2.8355523077142304</v>
      </c>
      <c r="I36" s="73">
        <f>(G36/$H$21)-1</f>
        <v>7.9419619334846425E-2</v>
      </c>
      <c r="J36" s="75"/>
    </row>
    <row r="37" spans="2:10" x14ac:dyDescent="0.25">
      <c r="B37" s="121" t="s">
        <v>61</v>
      </c>
      <c r="C37" s="122"/>
      <c r="D37" s="71">
        <v>9.6423611111111113E-4</v>
      </c>
      <c r="E37" s="72">
        <f>12.9+12.4</f>
        <v>25.3</v>
      </c>
      <c r="F37" s="73">
        <f>((E37/$G$21)-1)</f>
        <v>9.086663699314812E-2</v>
      </c>
      <c r="G37" s="74">
        <f>(E37*1000/3600)*$L$17/1000</f>
        <v>2.1521842015551007</v>
      </c>
      <c r="H37" s="74">
        <f>G37/$E$17</f>
        <v>2.8695789354068011</v>
      </c>
      <c r="I37" s="73">
        <f>(G37/$H$21)-1</f>
        <v>9.2372654766864404E-2</v>
      </c>
      <c r="J37" s="75"/>
    </row>
    <row r="38" spans="2:10" x14ac:dyDescent="0.25">
      <c r="B38" s="121" t="s">
        <v>67</v>
      </c>
      <c r="C38" s="122"/>
      <c r="D38" s="71">
        <v>9.5162037037037047E-4</v>
      </c>
      <c r="E38" s="72">
        <f>12+11.7</f>
        <v>23.7</v>
      </c>
      <c r="F38" s="73" t="s">
        <v>56</v>
      </c>
      <c r="G38" s="74" t="s">
        <v>68</v>
      </c>
      <c r="H38" s="74" t="s">
        <v>68</v>
      </c>
      <c r="I38" s="73" t="s">
        <v>56</v>
      </c>
      <c r="J38" s="75"/>
    </row>
    <row r="39" spans="2:10" x14ac:dyDescent="0.25">
      <c r="B39" s="125" t="s">
        <v>69</v>
      </c>
      <c r="C39" s="126"/>
      <c r="D39" s="71"/>
      <c r="E39" s="72"/>
      <c r="F39" s="73"/>
      <c r="G39" s="74"/>
      <c r="H39" s="74"/>
      <c r="I39" s="73"/>
      <c r="J39" s="75"/>
    </row>
    <row r="40" spans="2:10" x14ac:dyDescent="0.25">
      <c r="B40" s="121" t="s">
        <v>60</v>
      </c>
      <c r="C40" s="122"/>
      <c r="D40" s="71">
        <v>2.386111111111111E-3</v>
      </c>
      <c r="E40" s="72">
        <f>40.7+40.6</f>
        <v>81.300000000000011</v>
      </c>
      <c r="F40" s="73" t="s">
        <v>56</v>
      </c>
      <c r="G40" s="74">
        <f>(E40*1000/3600)*$L$17/1000</f>
        <v>6.9159120785150083</v>
      </c>
      <c r="H40" s="74">
        <f>G40/$E$17</f>
        <v>9.2212161046866772</v>
      </c>
      <c r="I40" s="72" t="s">
        <v>56</v>
      </c>
      <c r="J40" s="76">
        <f>12.3*E40</f>
        <v>999.99000000000024</v>
      </c>
    </row>
    <row r="41" spans="2:10" x14ac:dyDescent="0.25">
      <c r="B41" s="121" t="s">
        <v>62</v>
      </c>
      <c r="C41" s="122"/>
      <c r="D41" s="71" t="s">
        <v>63</v>
      </c>
      <c r="E41" s="72">
        <f>41.2+41</f>
        <v>82.2</v>
      </c>
      <c r="F41" s="73" t="s">
        <v>56</v>
      </c>
      <c r="G41" s="74">
        <f>(E41*1000/3600)*$L$17/1000</f>
        <v>6.9924719908232911</v>
      </c>
      <c r="H41" s="74">
        <f>G41/$E$17</f>
        <v>9.3232959877643875</v>
      </c>
      <c r="I41" s="72" t="s">
        <v>56</v>
      </c>
      <c r="J41" s="76">
        <f>12.3*E41</f>
        <v>1011.0600000000001</v>
      </c>
    </row>
    <row r="42" spans="2:10" x14ac:dyDescent="0.25">
      <c r="B42" s="127" t="s">
        <v>70</v>
      </c>
      <c r="C42" s="128"/>
      <c r="D42" s="77">
        <v>2.370486111111111E-3</v>
      </c>
      <c r="E42" s="78">
        <f>40.7+40.4</f>
        <v>81.099999999999994</v>
      </c>
      <c r="F42" s="79" t="s">
        <v>56</v>
      </c>
      <c r="G42" s="80" t="s">
        <v>68</v>
      </c>
      <c r="H42" s="80" t="s">
        <v>68</v>
      </c>
      <c r="I42" s="78" t="s">
        <v>56</v>
      </c>
      <c r="J42" s="76">
        <f>12.3*E42</f>
        <v>997.53</v>
      </c>
    </row>
    <row r="43" spans="2:10" x14ac:dyDescent="0.25">
      <c r="B43" s="127" t="s">
        <v>71</v>
      </c>
      <c r="C43" s="128"/>
      <c r="D43" s="77">
        <v>2.3820601851851854E-3</v>
      </c>
      <c r="E43" s="78">
        <f>41.1+40.9</f>
        <v>82</v>
      </c>
      <c r="F43" s="79" t="s">
        <v>56</v>
      </c>
      <c r="G43" s="80" t="s">
        <v>68</v>
      </c>
      <c r="H43" s="80" t="s">
        <v>68</v>
      </c>
      <c r="I43" s="78" t="s">
        <v>56</v>
      </c>
      <c r="J43" s="76">
        <f>12.3*E43</f>
        <v>1008.6</v>
      </c>
    </row>
    <row r="44" spans="2:10" x14ac:dyDescent="0.25">
      <c r="B44" s="81"/>
      <c r="C44" s="82"/>
      <c r="D44" s="75"/>
      <c r="E44" s="83" t="s">
        <v>64</v>
      </c>
      <c r="F44" s="83"/>
      <c r="G44" s="84"/>
      <c r="H44" s="75"/>
      <c r="I44" s="75"/>
      <c r="J44" s="76"/>
    </row>
    <row r="45" spans="2:10" x14ac:dyDescent="0.25">
      <c r="B45" s="121" t="s">
        <v>72</v>
      </c>
      <c r="C45" s="122"/>
      <c r="D45" s="85">
        <v>2.3425925925925923E-3</v>
      </c>
      <c r="E45" s="72">
        <f>38.7+38.5</f>
        <v>77.2</v>
      </c>
      <c r="F45" s="72" t="s">
        <v>56</v>
      </c>
      <c r="G45" s="74" t="s">
        <v>68</v>
      </c>
      <c r="H45" s="74" t="s">
        <v>68</v>
      </c>
      <c r="I45" s="72" t="s">
        <v>56</v>
      </c>
      <c r="J45" s="76">
        <f>12.3*E45</f>
        <v>949.56000000000006</v>
      </c>
    </row>
    <row r="46" spans="2:10" x14ac:dyDescent="0.25">
      <c r="B46" s="123" t="s">
        <v>73</v>
      </c>
      <c r="C46" s="124"/>
      <c r="D46" s="86">
        <v>2.3252314814814815E-3</v>
      </c>
      <c r="E46" s="87">
        <f>38.9+38.8</f>
        <v>77.699999999999989</v>
      </c>
      <c r="F46" s="87" t="s">
        <v>56</v>
      </c>
      <c r="G46" s="87" t="s">
        <v>68</v>
      </c>
      <c r="H46" s="87" t="s">
        <v>68</v>
      </c>
      <c r="I46" s="87" t="s">
        <v>56</v>
      </c>
      <c r="J46" s="88">
        <f>12.3*E46</f>
        <v>955.70999999999992</v>
      </c>
    </row>
  </sheetData>
  <mergeCells count="36">
    <mergeCell ref="B34:C34"/>
    <mergeCell ref="B35:C35"/>
    <mergeCell ref="B37:C37"/>
    <mergeCell ref="B36:C36"/>
    <mergeCell ref="B38:C38"/>
    <mergeCell ref="C31:D31"/>
    <mergeCell ref="J23:J24"/>
    <mergeCell ref="K23:K24"/>
    <mergeCell ref="L23:L24"/>
    <mergeCell ref="M23:O24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O26"/>
    <mergeCell ref="C30:D30"/>
    <mergeCell ref="B2:I2"/>
    <mergeCell ref="C17:D17"/>
    <mergeCell ref="D23:D24"/>
    <mergeCell ref="E23:E24"/>
    <mergeCell ref="F23:F24"/>
    <mergeCell ref="G23:G24"/>
    <mergeCell ref="H23:H24"/>
    <mergeCell ref="I23:I24"/>
    <mergeCell ref="B45:C45"/>
    <mergeCell ref="B46:C46"/>
    <mergeCell ref="B39:C39"/>
    <mergeCell ref="B40:C40"/>
    <mergeCell ref="B41:C41"/>
    <mergeCell ref="B42:C42"/>
    <mergeCell ref="B43:C4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43E2-8932-4C53-B500-D8B8C99F2BE6}">
  <dimension ref="A1:M27"/>
  <sheetViews>
    <sheetView showGridLines="0" zoomScale="85" zoomScaleNormal="85" workbookViewId="0">
      <selection activeCell="M1" sqref="M1"/>
    </sheetView>
  </sheetViews>
  <sheetFormatPr defaultRowHeight="15" x14ac:dyDescent="0.25"/>
  <cols>
    <col min="1" max="2" width="9.140625" style="36"/>
    <col min="3" max="3" width="26.5703125" style="36" customWidth="1"/>
    <col min="4" max="4" width="17.28515625" style="36" customWidth="1"/>
    <col min="5" max="5" width="24.42578125" style="36" bestFit="1" customWidth="1"/>
    <col min="6" max="6" width="16.7109375" style="36" bestFit="1" customWidth="1"/>
    <col min="7" max="7" width="22.140625" style="36" customWidth="1"/>
    <col min="8" max="8" width="17.42578125" style="36" customWidth="1"/>
    <col min="9" max="9" width="19.28515625" style="36" customWidth="1"/>
    <col min="10" max="10" width="18" style="36" customWidth="1"/>
    <col min="11" max="11" width="13.5703125" style="36" customWidth="1"/>
    <col min="12" max="12" width="14" style="36" customWidth="1"/>
    <col min="13" max="13" width="11.140625" style="36" bestFit="1" customWidth="1"/>
    <col min="14" max="16384" width="9.140625" style="36"/>
  </cols>
  <sheetData>
    <row r="1" spans="1:13" ht="60" x14ac:dyDescent="0.25">
      <c r="A1" s="2" t="s">
        <v>0</v>
      </c>
      <c r="B1" s="2" t="s">
        <v>1</v>
      </c>
      <c r="C1" s="2" t="s">
        <v>2</v>
      </c>
      <c r="D1" s="2" t="s">
        <v>78</v>
      </c>
      <c r="E1" s="2" t="s">
        <v>88</v>
      </c>
      <c r="F1" s="13" t="s">
        <v>25</v>
      </c>
      <c r="G1" s="2" t="s">
        <v>79</v>
      </c>
      <c r="H1" s="2" t="s">
        <v>80</v>
      </c>
      <c r="I1" s="2" t="s">
        <v>81</v>
      </c>
      <c r="J1" s="2" t="s">
        <v>87</v>
      </c>
      <c r="K1" s="11" t="s">
        <v>22</v>
      </c>
      <c r="L1" s="11" t="s">
        <v>30</v>
      </c>
      <c r="M1" s="11" t="s">
        <v>31</v>
      </c>
    </row>
    <row r="2" spans="1:13" ht="15" customHeight="1" x14ac:dyDescent="0.25">
      <c r="A2" s="150" t="s">
        <v>82</v>
      </c>
      <c r="B2" s="156"/>
      <c r="C2" s="156"/>
      <c r="D2" s="156"/>
      <c r="E2" s="156"/>
      <c r="F2" s="156"/>
      <c r="G2" s="156"/>
      <c r="H2" s="156"/>
      <c r="I2" s="156"/>
      <c r="J2" s="157"/>
      <c r="K2" s="156"/>
      <c r="L2" s="156"/>
      <c r="M2" s="156"/>
    </row>
    <row r="3" spans="1:13" x14ac:dyDescent="0.25">
      <c r="A3" s="151"/>
      <c r="B3" s="152" t="s">
        <v>9</v>
      </c>
      <c r="C3" s="153">
        <v>1.0024305555555557E-3</v>
      </c>
      <c r="D3" s="154">
        <v>2.91</v>
      </c>
      <c r="E3" s="154">
        <v>2.84</v>
      </c>
      <c r="F3" s="38">
        <f>D3/E3</f>
        <v>1.0246478873239437</v>
      </c>
      <c r="G3" s="154">
        <v>27.477</v>
      </c>
      <c r="H3" s="154">
        <v>2.1800000000000002</v>
      </c>
      <c r="I3" s="154">
        <v>28.765000000000001</v>
      </c>
      <c r="J3" s="154">
        <v>2.3919999999999999</v>
      </c>
      <c r="K3" s="39">
        <f>G3/I3</f>
        <v>0.95522336172431777</v>
      </c>
      <c r="L3" s="40">
        <f>H3*1000/(I3/3600*1000)</f>
        <v>272.83156613940554</v>
      </c>
      <c r="M3" s="40">
        <f>H3*1000/(G3/3600*1000)</f>
        <v>285.62070094988536</v>
      </c>
    </row>
    <row r="4" spans="1:13" x14ac:dyDescent="0.25">
      <c r="A4" s="3" t="s">
        <v>4</v>
      </c>
      <c r="B4" s="3" t="s">
        <v>5</v>
      </c>
      <c r="C4" s="3" t="s">
        <v>83</v>
      </c>
      <c r="D4" s="4">
        <v>2.5</v>
      </c>
      <c r="E4" s="4">
        <v>2.4700000000000002</v>
      </c>
      <c r="F4" s="38">
        <f t="shared" ref="F4:F27" si="0">D4/E4</f>
        <v>1.0121457489878543</v>
      </c>
      <c r="G4" s="4">
        <v>22.780999999999999</v>
      </c>
      <c r="H4" s="4">
        <v>1.88</v>
      </c>
      <c r="I4" s="4">
        <v>24.753</v>
      </c>
      <c r="J4" s="4">
        <v>2.133</v>
      </c>
      <c r="K4" s="39">
        <f t="shared" ref="K4:K27" si="1">G4/I4</f>
        <v>0.92033288894275433</v>
      </c>
      <c r="L4" s="40">
        <f t="shared" ref="L4:L27" si="2">H4*1000/(I4/3600*1000)</f>
        <v>273.42140346624649</v>
      </c>
      <c r="M4" s="40">
        <f t="shared" ref="M4:M27" si="3">H4*1000/(G4/3600*1000)</f>
        <v>297.08967999648831</v>
      </c>
    </row>
    <row r="5" spans="1:13" x14ac:dyDescent="0.25">
      <c r="A5" s="3" t="s">
        <v>4</v>
      </c>
      <c r="B5" s="3" t="s">
        <v>6</v>
      </c>
      <c r="C5" s="155">
        <v>1.0208333333333334E-3</v>
      </c>
      <c r="D5" s="4">
        <v>2.84</v>
      </c>
      <c r="E5" s="4">
        <v>2.76</v>
      </c>
      <c r="F5" s="38">
        <f t="shared" si="0"/>
        <v>1.0289855072463769</v>
      </c>
      <c r="G5" s="4">
        <v>26.686</v>
      </c>
      <c r="H5" s="4">
        <v>2.1349999999999998</v>
      </c>
      <c r="I5" s="4">
        <v>27.925999999999998</v>
      </c>
      <c r="J5" s="4">
        <v>2.2839999999999998</v>
      </c>
      <c r="K5" s="39">
        <f t="shared" si="1"/>
        <v>0.95559693475614127</v>
      </c>
      <c r="L5" s="40">
        <f t="shared" si="2"/>
        <v>275.22738666475686</v>
      </c>
      <c r="M5" s="40">
        <f t="shared" si="3"/>
        <v>288.01618826350898</v>
      </c>
    </row>
    <row r="6" spans="1:13" x14ac:dyDescent="0.25">
      <c r="A6" s="3" t="s">
        <v>4</v>
      </c>
      <c r="B6" s="3" t="s">
        <v>7</v>
      </c>
      <c r="C6" s="155">
        <v>1.009837962962963E-3</v>
      </c>
      <c r="D6" s="4">
        <v>2.89</v>
      </c>
      <c r="E6" s="4">
        <v>2.81</v>
      </c>
      <c r="F6" s="38">
        <f t="shared" si="0"/>
        <v>1.0284697508896798</v>
      </c>
      <c r="G6" s="4">
        <v>27.417999999999999</v>
      </c>
      <c r="H6" s="4">
        <v>2.1749999999999998</v>
      </c>
      <c r="I6" s="4">
        <v>28.738</v>
      </c>
      <c r="J6" s="4">
        <v>2.2810000000000001</v>
      </c>
      <c r="K6" s="39">
        <f t="shared" si="1"/>
        <v>0.95406778481453125</v>
      </c>
      <c r="L6" s="40">
        <f t="shared" si="2"/>
        <v>272.46154916834854</v>
      </c>
      <c r="M6" s="40">
        <f t="shared" si="3"/>
        <v>285.5788168356554</v>
      </c>
    </row>
    <row r="7" spans="1:13" x14ac:dyDescent="0.25">
      <c r="A7" s="3" t="s">
        <v>4</v>
      </c>
      <c r="B7" s="3" t="s">
        <v>8</v>
      </c>
      <c r="C7" s="155">
        <v>1.0069444444444444E-3</v>
      </c>
      <c r="D7" s="4">
        <v>2.89</v>
      </c>
      <c r="E7" s="4">
        <v>2.8</v>
      </c>
      <c r="F7" s="38">
        <f t="shared" si="0"/>
        <v>1.0321428571428573</v>
      </c>
      <c r="G7" s="4">
        <v>27.32</v>
      </c>
      <c r="H7" s="4">
        <v>2.17</v>
      </c>
      <c r="I7" s="4">
        <v>28.591000000000001</v>
      </c>
      <c r="J7" s="4">
        <v>2.3079999999999998</v>
      </c>
      <c r="K7" s="39">
        <f t="shared" si="1"/>
        <v>0.95554545136581437</v>
      </c>
      <c r="L7" s="40">
        <f t="shared" si="2"/>
        <v>273.23283550767724</v>
      </c>
      <c r="M7" s="40">
        <f t="shared" si="3"/>
        <v>285.94436310395315</v>
      </c>
    </row>
    <row r="8" spans="1:13" x14ac:dyDescent="0.25">
      <c r="A8" s="3" t="s">
        <v>4</v>
      </c>
      <c r="B8" s="152" t="s">
        <v>9</v>
      </c>
      <c r="C8" s="153">
        <v>1.0024305555555557E-3</v>
      </c>
      <c r="D8" s="4">
        <v>2.9</v>
      </c>
      <c r="E8" s="4">
        <v>2.82</v>
      </c>
      <c r="F8" s="38">
        <f t="shared" si="0"/>
        <v>1.0283687943262412</v>
      </c>
      <c r="G8" s="4">
        <v>27.428999999999998</v>
      </c>
      <c r="H8" s="154">
        <v>2.1800000000000002</v>
      </c>
      <c r="I8" s="4">
        <v>28.74</v>
      </c>
      <c r="J8" s="4">
        <v>2.3439999999999999</v>
      </c>
      <c r="K8" s="39">
        <f t="shared" si="1"/>
        <v>0.95438413361169105</v>
      </c>
      <c r="L8" s="40">
        <f t="shared" si="2"/>
        <v>273.06889352818371</v>
      </c>
      <c r="M8" s="40">
        <f t="shared" si="3"/>
        <v>286.12052936672865</v>
      </c>
    </row>
    <row r="9" spans="1:13" x14ac:dyDescent="0.25">
      <c r="A9" s="3" t="s">
        <v>4</v>
      </c>
      <c r="B9" s="3" t="s">
        <v>11</v>
      </c>
      <c r="C9" s="155">
        <v>1.005787037037037E-3</v>
      </c>
      <c r="D9" s="154">
        <v>2.91</v>
      </c>
      <c r="E9" s="4">
        <v>2.83</v>
      </c>
      <c r="F9" s="38">
        <f t="shared" si="0"/>
        <v>1.0282685512367491</v>
      </c>
      <c r="G9" s="4">
        <v>27.393999999999998</v>
      </c>
      <c r="H9" s="154">
        <v>2.1800000000000002</v>
      </c>
      <c r="I9" s="4">
        <v>28.658000000000001</v>
      </c>
      <c r="J9" s="4">
        <v>2.3450000000000002</v>
      </c>
      <c r="K9" s="39">
        <f t="shared" si="1"/>
        <v>0.95589364226394014</v>
      </c>
      <c r="L9" s="40">
        <f t="shared" si="2"/>
        <v>273.8502337916114</v>
      </c>
      <c r="M9" s="40">
        <f t="shared" si="3"/>
        <v>286.48609184492955</v>
      </c>
    </row>
    <row r="10" spans="1:13" x14ac:dyDescent="0.25">
      <c r="A10" s="3" t="s">
        <v>4</v>
      </c>
      <c r="B10" s="3" t="s">
        <v>12</v>
      </c>
      <c r="C10" s="155">
        <v>1.0556712962962963E-3</v>
      </c>
      <c r="D10" s="4">
        <v>2.68</v>
      </c>
      <c r="E10" s="4">
        <v>2.63</v>
      </c>
      <c r="F10" s="38">
        <f t="shared" si="0"/>
        <v>1.0190114068441065</v>
      </c>
      <c r="G10" s="4">
        <v>25.088000000000001</v>
      </c>
      <c r="H10" s="4">
        <v>2.0129999999999999</v>
      </c>
      <c r="I10" s="4">
        <v>26.382000000000001</v>
      </c>
      <c r="J10" s="4">
        <v>2.2200000000000002</v>
      </c>
      <c r="K10" s="39">
        <f t="shared" si="1"/>
        <v>0.95095140626184516</v>
      </c>
      <c r="L10" s="40">
        <f t="shared" si="2"/>
        <v>274.68728678644533</v>
      </c>
      <c r="M10" s="40">
        <f t="shared" si="3"/>
        <v>288.85522959183669</v>
      </c>
    </row>
    <row r="11" spans="1:13" x14ac:dyDescent="0.25">
      <c r="A11" s="3" t="s">
        <v>4</v>
      </c>
      <c r="B11" s="3" t="s">
        <v>13</v>
      </c>
      <c r="C11" s="155">
        <v>1.0054398148148147E-3</v>
      </c>
      <c r="D11" s="4">
        <v>2.9</v>
      </c>
      <c r="E11" s="4">
        <v>2.81</v>
      </c>
      <c r="F11" s="38">
        <f t="shared" si="0"/>
        <v>1.0320284697508897</v>
      </c>
      <c r="G11" s="4">
        <v>27.254000000000001</v>
      </c>
      <c r="H11" s="4">
        <v>2.1669999999999998</v>
      </c>
      <c r="I11" s="4">
        <v>28.562999999999999</v>
      </c>
      <c r="J11" s="4">
        <v>2.331</v>
      </c>
      <c r="K11" s="39">
        <f t="shared" si="1"/>
        <v>0.95417148058677315</v>
      </c>
      <c r="L11" s="40">
        <f t="shared" si="2"/>
        <v>273.12257115849178</v>
      </c>
      <c r="M11" s="40">
        <f t="shared" si="3"/>
        <v>286.24055184560063</v>
      </c>
    </row>
    <row r="12" spans="1:13" x14ac:dyDescent="0.25">
      <c r="A12" s="3" t="s">
        <v>4</v>
      </c>
      <c r="B12" s="3" t="s">
        <v>14</v>
      </c>
      <c r="C12" s="155">
        <v>1.0053240740740741E-3</v>
      </c>
      <c r="D12" s="4">
        <v>2.88</v>
      </c>
      <c r="E12" s="4">
        <v>2.81</v>
      </c>
      <c r="F12" s="38">
        <f t="shared" si="0"/>
        <v>1.0249110320284698</v>
      </c>
      <c r="G12" s="4">
        <v>27.143999999999998</v>
      </c>
      <c r="H12" s="4">
        <v>2.16</v>
      </c>
      <c r="I12" s="4">
        <v>28.399000000000001</v>
      </c>
      <c r="J12" s="4">
        <v>2.294</v>
      </c>
      <c r="K12" s="39">
        <f t="shared" si="1"/>
        <v>0.95580830310926435</v>
      </c>
      <c r="L12" s="40">
        <f t="shared" si="2"/>
        <v>273.81245818514736</v>
      </c>
      <c r="M12" s="40">
        <f t="shared" si="3"/>
        <v>286.47214854111405</v>
      </c>
    </row>
    <row r="13" spans="1:13" x14ac:dyDescent="0.25">
      <c r="A13" s="3" t="s">
        <v>4</v>
      </c>
      <c r="B13" s="3" t="s">
        <v>15</v>
      </c>
      <c r="C13" s="155">
        <v>1.0063657407407408E-3</v>
      </c>
      <c r="D13" s="4">
        <v>2.86</v>
      </c>
      <c r="E13" s="4">
        <v>2.79</v>
      </c>
      <c r="F13" s="38">
        <f t="shared" si="0"/>
        <v>1.0250896057347669</v>
      </c>
      <c r="G13" s="4">
        <v>26.88</v>
      </c>
      <c r="H13" s="4">
        <v>2.141</v>
      </c>
      <c r="I13" s="4">
        <v>28.052</v>
      </c>
      <c r="J13" s="4">
        <v>2.2850000000000001</v>
      </c>
      <c r="K13" s="39">
        <f t="shared" si="1"/>
        <v>0.95822044773991155</v>
      </c>
      <c r="L13" s="40">
        <f t="shared" si="2"/>
        <v>274.76115784970773</v>
      </c>
      <c r="M13" s="40">
        <f t="shared" si="3"/>
        <v>286.74107142857144</v>
      </c>
    </row>
    <row r="14" spans="1:13" x14ac:dyDescent="0.25">
      <c r="A14" s="3" t="s">
        <v>4</v>
      </c>
      <c r="B14" s="3" t="s">
        <v>16</v>
      </c>
      <c r="C14" s="155">
        <v>1.005787037037037E-3</v>
      </c>
      <c r="D14" s="154">
        <v>2.91</v>
      </c>
      <c r="E14" s="154">
        <v>2.84</v>
      </c>
      <c r="F14" s="38">
        <f t="shared" si="0"/>
        <v>1.0246478873239437</v>
      </c>
      <c r="G14" s="4">
        <v>27.288</v>
      </c>
      <c r="H14" s="164">
        <v>2.1789999999999998</v>
      </c>
      <c r="I14" s="4">
        <v>28.626999999999999</v>
      </c>
      <c r="J14" s="164">
        <v>2.3210000000000002</v>
      </c>
      <c r="K14" s="39">
        <f t="shared" si="1"/>
        <v>0.95322597547769594</v>
      </c>
      <c r="L14" s="40">
        <f t="shared" si="2"/>
        <v>274.02102909840363</v>
      </c>
      <c r="M14" s="40">
        <f t="shared" si="3"/>
        <v>287.46701846965698</v>
      </c>
    </row>
    <row r="15" spans="1:13" x14ac:dyDescent="0.25">
      <c r="A15" s="3" t="s">
        <v>4</v>
      </c>
      <c r="B15" s="3" t="s">
        <v>17</v>
      </c>
      <c r="C15" s="155">
        <v>1.0056712962962964E-3</v>
      </c>
      <c r="D15" s="4">
        <v>2.89</v>
      </c>
      <c r="E15" s="4">
        <v>2.82</v>
      </c>
      <c r="F15" s="38">
        <f t="shared" si="0"/>
        <v>1.0248226950354611</v>
      </c>
      <c r="G15" s="163">
        <v>27.116</v>
      </c>
      <c r="H15" s="170">
        <v>2.16</v>
      </c>
      <c r="I15" s="169">
        <v>28.367999999999999</v>
      </c>
      <c r="J15" s="170">
        <v>2.3220000000000001</v>
      </c>
      <c r="K15" s="39">
        <f t="shared" si="1"/>
        <v>0.9558657642413988</v>
      </c>
      <c r="L15" s="40">
        <f t="shared" si="2"/>
        <v>274.11167512690355</v>
      </c>
      <c r="M15" s="40">
        <f t="shared" si="3"/>
        <v>286.76795987608796</v>
      </c>
    </row>
    <row r="16" spans="1:13" x14ac:dyDescent="0.25">
      <c r="A16" s="3" t="s">
        <v>4</v>
      </c>
      <c r="B16" s="3" t="s">
        <v>84</v>
      </c>
      <c r="C16" s="155">
        <v>1.0031250000000001E-3</v>
      </c>
      <c r="D16" s="4">
        <v>2.89</v>
      </c>
      <c r="E16" s="4">
        <v>2.81</v>
      </c>
      <c r="F16" s="38">
        <f t="shared" si="0"/>
        <v>1.0284697508896798</v>
      </c>
      <c r="G16" s="163">
        <v>27.251999999999999</v>
      </c>
      <c r="H16" s="171">
        <v>2.16</v>
      </c>
      <c r="I16" s="169">
        <v>28.527000000000001</v>
      </c>
      <c r="J16" s="171">
        <v>2.3199999999999998</v>
      </c>
      <c r="K16" s="39">
        <f t="shared" si="1"/>
        <v>0.95530550005258175</v>
      </c>
      <c r="L16" s="40">
        <f t="shared" si="2"/>
        <v>272.5838679146072</v>
      </c>
      <c r="M16" s="40">
        <f t="shared" si="3"/>
        <v>285.33685601056806</v>
      </c>
    </row>
    <row r="17" spans="1:13" x14ac:dyDescent="0.25">
      <c r="A17" s="3" t="s">
        <v>4</v>
      </c>
      <c r="B17" s="3" t="s">
        <v>85</v>
      </c>
      <c r="C17" s="155">
        <v>1.0053240740740741E-3</v>
      </c>
      <c r="D17" s="4">
        <v>2.9</v>
      </c>
      <c r="E17" s="154">
        <v>2.84</v>
      </c>
      <c r="F17" s="38">
        <f t="shared" si="0"/>
        <v>1.0211267605633803</v>
      </c>
      <c r="G17" s="163">
        <v>27.248999999999999</v>
      </c>
      <c r="H17" s="171">
        <v>2.173</v>
      </c>
      <c r="I17" s="169">
        <v>28.57</v>
      </c>
      <c r="J17" s="173">
        <v>2.3919999999999999</v>
      </c>
      <c r="K17" s="39">
        <f t="shared" si="1"/>
        <v>0.95376268813440668</v>
      </c>
      <c r="L17" s="40">
        <f t="shared" si="2"/>
        <v>273.81169058452923</v>
      </c>
      <c r="M17" s="40">
        <f t="shared" si="3"/>
        <v>287.08576461521523</v>
      </c>
    </row>
    <row r="18" spans="1:13" x14ac:dyDescent="0.25">
      <c r="A18" s="3" t="s">
        <v>4</v>
      </c>
      <c r="B18" s="3" t="s">
        <v>38</v>
      </c>
      <c r="C18" s="155">
        <v>1.0038194444444446E-3</v>
      </c>
      <c r="D18" s="4">
        <v>2.89</v>
      </c>
      <c r="E18" s="4">
        <v>2.82</v>
      </c>
      <c r="F18" s="38">
        <f t="shared" si="0"/>
        <v>1.0248226950354611</v>
      </c>
      <c r="G18" s="163">
        <v>27.125</v>
      </c>
      <c r="H18" s="171">
        <v>2.1629999999999998</v>
      </c>
      <c r="I18" s="169">
        <v>28.382999999999999</v>
      </c>
      <c r="J18" s="171">
        <v>2.3069999999999999</v>
      </c>
      <c r="K18" s="39">
        <f t="shared" si="1"/>
        <v>0.95567769439453198</v>
      </c>
      <c r="L18" s="40">
        <f t="shared" si="2"/>
        <v>274.34732057921997</v>
      </c>
      <c r="M18" s="40">
        <f t="shared" si="3"/>
        <v>287.07096774193548</v>
      </c>
    </row>
    <row r="19" spans="1:13" x14ac:dyDescent="0.25">
      <c r="A19" s="3" t="s">
        <v>4</v>
      </c>
      <c r="B19" s="3" t="s">
        <v>39</v>
      </c>
      <c r="C19" s="155">
        <v>1.0033564814814816E-3</v>
      </c>
      <c r="D19" s="4">
        <v>2.89</v>
      </c>
      <c r="E19" s="4">
        <v>2.82</v>
      </c>
      <c r="F19" s="38">
        <f t="shared" si="0"/>
        <v>1.0248226950354611</v>
      </c>
      <c r="G19" s="163">
        <v>27.189</v>
      </c>
      <c r="H19" s="171">
        <v>2.1589999999999998</v>
      </c>
      <c r="I19" s="169">
        <v>28.463000000000001</v>
      </c>
      <c r="J19" s="171">
        <v>2.3119999999999998</v>
      </c>
      <c r="K19" s="39">
        <f t="shared" si="1"/>
        <v>0.95524013631732418</v>
      </c>
      <c r="L19" s="40">
        <f t="shared" si="2"/>
        <v>273.07030179531318</v>
      </c>
      <c r="M19" s="40">
        <f t="shared" si="3"/>
        <v>285.8656074147633</v>
      </c>
    </row>
    <row r="20" spans="1:13" x14ac:dyDescent="0.25">
      <c r="A20" s="3" t="s">
        <v>4</v>
      </c>
      <c r="B20" s="3" t="s">
        <v>40</v>
      </c>
      <c r="C20" s="155">
        <v>1.0060185185185187E-3</v>
      </c>
      <c r="D20" s="154">
        <v>2.91</v>
      </c>
      <c r="E20" s="154">
        <v>2.84</v>
      </c>
      <c r="F20" s="38">
        <f t="shared" si="0"/>
        <v>1.0246478873239437</v>
      </c>
      <c r="G20" s="163">
        <v>27.221</v>
      </c>
      <c r="H20" s="171">
        <v>2.1720000000000002</v>
      </c>
      <c r="I20" s="169">
        <v>28.527000000000001</v>
      </c>
      <c r="J20" s="171">
        <v>2.3170000000000002</v>
      </c>
      <c r="K20" s="39">
        <f t="shared" si="1"/>
        <v>0.9542188102499386</v>
      </c>
      <c r="L20" s="40">
        <f t="shared" si="2"/>
        <v>274.09822273635507</v>
      </c>
      <c r="M20" s="40">
        <f t="shared" si="3"/>
        <v>287.24881525292972</v>
      </c>
    </row>
    <row r="21" spans="1:13" x14ac:dyDescent="0.25">
      <c r="A21" s="3" t="s">
        <v>4</v>
      </c>
      <c r="B21" s="3" t="s">
        <v>41</v>
      </c>
      <c r="C21" s="155">
        <v>1.0063657407407408E-3</v>
      </c>
      <c r="D21" s="4">
        <v>2.87</v>
      </c>
      <c r="E21" s="4">
        <v>2.8</v>
      </c>
      <c r="F21" s="38">
        <f t="shared" si="0"/>
        <v>1.0250000000000001</v>
      </c>
      <c r="G21" s="163">
        <v>27.027999999999999</v>
      </c>
      <c r="H21" s="171">
        <v>2.1429999999999998</v>
      </c>
      <c r="I21" s="169">
        <v>28.327000000000002</v>
      </c>
      <c r="J21" s="171">
        <v>2.3340000000000001</v>
      </c>
      <c r="K21" s="39">
        <f t="shared" si="1"/>
        <v>0.95414269071910185</v>
      </c>
      <c r="L21" s="40">
        <f t="shared" si="2"/>
        <v>272.34793659759242</v>
      </c>
      <c r="M21" s="40">
        <f t="shared" si="3"/>
        <v>285.4373242563268</v>
      </c>
    </row>
    <row r="22" spans="1:13" x14ac:dyDescent="0.25">
      <c r="A22" s="3" t="s">
        <v>4</v>
      </c>
      <c r="B22" s="3" t="s">
        <v>42</v>
      </c>
      <c r="C22" s="155">
        <v>1.029398148148148E-3</v>
      </c>
      <c r="D22" s="4">
        <v>2.83</v>
      </c>
      <c r="E22" s="4">
        <v>2.77</v>
      </c>
      <c r="F22" s="38">
        <f t="shared" si="0"/>
        <v>1.0216606498194947</v>
      </c>
      <c r="G22" s="163">
        <v>26.425999999999998</v>
      </c>
      <c r="H22" s="171">
        <v>2.1160000000000001</v>
      </c>
      <c r="I22" s="169">
        <v>27.696999999999999</v>
      </c>
      <c r="J22" s="171">
        <v>2.355</v>
      </c>
      <c r="K22" s="39">
        <f t="shared" si="1"/>
        <v>0.95411055348954754</v>
      </c>
      <c r="L22" s="40">
        <f t="shared" si="2"/>
        <v>275.03339711882154</v>
      </c>
      <c r="M22" s="40">
        <f t="shared" si="3"/>
        <v>288.26156058427313</v>
      </c>
    </row>
    <row r="23" spans="1:13" x14ac:dyDescent="0.25">
      <c r="A23" s="3" t="s">
        <v>4</v>
      </c>
      <c r="B23" s="3" t="s">
        <v>43</v>
      </c>
      <c r="C23" s="155">
        <v>1.0399305555555557E-3</v>
      </c>
      <c r="D23" s="4">
        <v>2.73</v>
      </c>
      <c r="E23" s="4">
        <v>2.68</v>
      </c>
      <c r="F23" s="38">
        <f t="shared" si="0"/>
        <v>1.0186567164179103</v>
      </c>
      <c r="G23" s="163">
        <v>25.498000000000001</v>
      </c>
      <c r="H23" s="171">
        <v>2.0350000000000001</v>
      </c>
      <c r="I23" s="169">
        <v>26.692</v>
      </c>
      <c r="J23" s="171">
        <v>2.2919999999999998</v>
      </c>
      <c r="K23" s="39">
        <f t="shared" si="1"/>
        <v>0.95526749587891502</v>
      </c>
      <c r="L23" s="40">
        <f t="shared" si="2"/>
        <v>274.46425895399369</v>
      </c>
      <c r="M23" s="40">
        <f t="shared" si="3"/>
        <v>287.31665228645386</v>
      </c>
    </row>
    <row r="24" spans="1:13" x14ac:dyDescent="0.25">
      <c r="A24" s="3" t="s">
        <v>4</v>
      </c>
      <c r="B24" s="3" t="s">
        <v>44</v>
      </c>
      <c r="C24" s="155">
        <v>1.0172453703703704E-3</v>
      </c>
      <c r="D24" s="4">
        <v>2.84</v>
      </c>
      <c r="E24" s="4">
        <v>2.78</v>
      </c>
      <c r="F24" s="38">
        <f t="shared" si="0"/>
        <v>1.0215827338129497</v>
      </c>
      <c r="G24" s="163">
        <v>26.524000000000001</v>
      </c>
      <c r="H24" s="171">
        <v>2.1190000000000002</v>
      </c>
      <c r="I24" s="169">
        <v>27.795999999999999</v>
      </c>
      <c r="J24" s="171">
        <v>2.3380000000000001</v>
      </c>
      <c r="K24" s="39">
        <f t="shared" si="1"/>
        <v>0.95423801985897261</v>
      </c>
      <c r="L24" s="40">
        <f t="shared" si="2"/>
        <v>274.44236580802993</v>
      </c>
      <c r="M24" s="40">
        <f t="shared" si="3"/>
        <v>287.60367968632181</v>
      </c>
    </row>
    <row r="25" spans="1:13" x14ac:dyDescent="0.25">
      <c r="A25" s="3" t="s">
        <v>4</v>
      </c>
      <c r="B25" s="3" t="s">
        <v>45</v>
      </c>
      <c r="C25" s="155">
        <v>1.0138888888888888E-3</v>
      </c>
      <c r="D25" s="4">
        <v>2.85</v>
      </c>
      <c r="E25" s="4">
        <v>2.79</v>
      </c>
      <c r="F25" s="38">
        <f t="shared" si="0"/>
        <v>1.021505376344086</v>
      </c>
      <c r="G25" s="163">
        <v>26.588999999999999</v>
      </c>
      <c r="H25" s="171">
        <v>2.13</v>
      </c>
      <c r="I25" s="169">
        <v>27.843</v>
      </c>
      <c r="J25" s="171">
        <v>2.3239999999999998</v>
      </c>
      <c r="K25" s="39">
        <f t="shared" si="1"/>
        <v>0.95496174981144266</v>
      </c>
      <c r="L25" s="40">
        <f t="shared" si="2"/>
        <v>275.40135761232625</v>
      </c>
      <c r="M25" s="40">
        <f t="shared" si="3"/>
        <v>288.38993568769041</v>
      </c>
    </row>
    <row r="26" spans="1:13" x14ac:dyDescent="0.25">
      <c r="A26" s="3" t="s">
        <v>4</v>
      </c>
      <c r="B26" s="3" t="s">
        <v>46</v>
      </c>
      <c r="C26" s="155">
        <v>1.0135416666666667E-3</v>
      </c>
      <c r="D26" s="4">
        <v>2.83</v>
      </c>
      <c r="E26" s="4">
        <v>2.77</v>
      </c>
      <c r="F26" s="38">
        <f t="shared" si="0"/>
        <v>1.0216606498194947</v>
      </c>
      <c r="G26" s="163">
        <v>26.474</v>
      </c>
      <c r="H26" s="171">
        <v>2.11</v>
      </c>
      <c r="I26" s="169">
        <v>27.722000000000001</v>
      </c>
      <c r="J26" s="171">
        <v>2.31</v>
      </c>
      <c r="K26" s="39">
        <f t="shared" si="1"/>
        <v>0.95498160305894231</v>
      </c>
      <c r="L26" s="40">
        <f t="shared" si="2"/>
        <v>274.00620445855276</v>
      </c>
      <c r="M26" s="40">
        <f t="shared" si="3"/>
        <v>286.92301881090879</v>
      </c>
    </row>
    <row r="27" spans="1:13" x14ac:dyDescent="0.25">
      <c r="A27" s="3" t="s">
        <v>4</v>
      </c>
      <c r="B27" s="3" t="s">
        <v>47</v>
      </c>
      <c r="C27" s="3" t="s">
        <v>86</v>
      </c>
      <c r="D27" s="4">
        <v>2.6</v>
      </c>
      <c r="E27" s="4">
        <v>2.56</v>
      </c>
      <c r="F27" s="38">
        <f t="shared" si="0"/>
        <v>1.015625</v>
      </c>
      <c r="G27" s="163">
        <v>23.42</v>
      </c>
      <c r="H27" s="172">
        <v>1.94</v>
      </c>
      <c r="I27" s="169">
        <v>24.577999999999999</v>
      </c>
      <c r="J27" s="172">
        <v>2.2229999999999999</v>
      </c>
      <c r="K27" s="39">
        <f t="shared" si="1"/>
        <v>0.9528846936284483</v>
      </c>
      <c r="L27" s="40">
        <f t="shared" si="2"/>
        <v>284.1565627797217</v>
      </c>
      <c r="M27" s="40">
        <f t="shared" si="3"/>
        <v>298.20666097352688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EDA3-39A2-4645-9A92-B0464C14CE7A}">
  <dimension ref="A1:S43"/>
  <sheetViews>
    <sheetView showGridLines="0" topLeftCell="A4" zoomScaleNormal="100" workbookViewId="0">
      <selection activeCell="B22" sqref="B22:D24"/>
    </sheetView>
  </sheetViews>
  <sheetFormatPr defaultRowHeight="15" x14ac:dyDescent="0.25"/>
  <cols>
    <col min="1" max="1" width="3.7109375" customWidth="1"/>
    <col min="2" max="2" width="19.5703125" customWidth="1"/>
    <col min="3" max="3" width="19" customWidth="1"/>
    <col min="4" max="4" width="20.7109375" customWidth="1"/>
    <col min="5" max="6" width="20.28515625" customWidth="1"/>
    <col min="7" max="10" width="22.7109375" customWidth="1"/>
    <col min="11" max="11" width="9.140625" customWidth="1"/>
    <col min="12" max="12" width="4.5703125" customWidth="1"/>
    <col min="13" max="13" width="18.28515625" customWidth="1"/>
    <col min="14" max="14" width="19" customWidth="1"/>
    <col min="15" max="15" width="20.7109375" customWidth="1"/>
    <col min="16" max="16" width="20.28515625" customWidth="1"/>
    <col min="17" max="19" width="22.7109375" customWidth="1"/>
  </cols>
  <sheetData>
    <row r="1" spans="1:19" x14ac:dyDescent="0.25">
      <c r="S1" s="182" t="s">
        <v>101</v>
      </c>
    </row>
    <row r="2" spans="1:19" x14ac:dyDescent="0.25">
      <c r="B2" s="146"/>
      <c r="C2" s="174"/>
      <c r="D2" s="174"/>
      <c r="E2" s="175" t="s">
        <v>76</v>
      </c>
      <c r="F2" s="198"/>
      <c r="G2" s="174"/>
      <c r="H2" s="174"/>
      <c r="I2" s="175" t="s">
        <v>76</v>
      </c>
      <c r="J2" s="198"/>
      <c r="M2" s="146"/>
      <c r="N2" s="174"/>
      <c r="O2" s="174"/>
      <c r="P2" s="175" t="s">
        <v>76</v>
      </c>
      <c r="Q2" s="174"/>
      <c r="R2" s="174"/>
      <c r="S2" s="175" t="s">
        <v>76</v>
      </c>
    </row>
    <row r="3" spans="1:19" x14ac:dyDescent="0.25">
      <c r="B3" s="147"/>
      <c r="C3" s="176" t="s">
        <v>94</v>
      </c>
      <c r="D3" s="177" t="s">
        <v>95</v>
      </c>
      <c r="E3" s="178" t="s">
        <v>96</v>
      </c>
      <c r="F3" s="199"/>
      <c r="G3" s="176" t="s">
        <v>94</v>
      </c>
      <c r="H3" s="177" t="s">
        <v>95</v>
      </c>
      <c r="I3" s="178" t="s">
        <v>96</v>
      </c>
      <c r="J3" s="199"/>
      <c r="M3" s="147"/>
      <c r="N3" s="176" t="s">
        <v>94</v>
      </c>
      <c r="O3" s="177" t="s">
        <v>95</v>
      </c>
      <c r="P3" s="178" t="s">
        <v>96</v>
      </c>
      <c r="Q3" s="176" t="s">
        <v>94</v>
      </c>
      <c r="R3" s="177" t="s">
        <v>95</v>
      </c>
      <c r="S3" s="178" t="s">
        <v>96</v>
      </c>
    </row>
    <row r="4" spans="1:19" ht="45" x14ac:dyDescent="0.25">
      <c r="A4" s="181" t="s">
        <v>100</v>
      </c>
      <c r="B4" s="158" t="s">
        <v>1</v>
      </c>
      <c r="C4" s="158" t="s">
        <v>91</v>
      </c>
      <c r="D4" s="158" t="s">
        <v>74</v>
      </c>
      <c r="E4" s="158" t="s">
        <v>102</v>
      </c>
      <c r="F4" s="11" t="s">
        <v>31</v>
      </c>
      <c r="G4" s="158" t="s">
        <v>90</v>
      </c>
      <c r="H4" s="158" t="s">
        <v>75</v>
      </c>
      <c r="I4" s="158" t="s">
        <v>106</v>
      </c>
      <c r="J4" s="200" t="s">
        <v>31</v>
      </c>
      <c r="M4" s="158" t="s">
        <v>1</v>
      </c>
      <c r="N4" s="158" t="s">
        <v>91</v>
      </c>
      <c r="O4" s="158" t="s">
        <v>74</v>
      </c>
      <c r="P4" s="158" t="s">
        <v>103</v>
      </c>
      <c r="Q4" s="158" t="s">
        <v>90</v>
      </c>
      <c r="R4" s="158" t="s">
        <v>75</v>
      </c>
      <c r="S4" s="158" t="s">
        <v>77</v>
      </c>
    </row>
    <row r="5" spans="1:19" x14ac:dyDescent="0.25">
      <c r="A5" s="181"/>
      <c r="B5" s="161" t="s">
        <v>89</v>
      </c>
      <c r="C5" s="148"/>
      <c r="D5" s="148"/>
      <c r="E5" s="148"/>
      <c r="F5" s="148"/>
      <c r="G5" s="203" t="s">
        <v>82</v>
      </c>
      <c r="H5" s="148"/>
      <c r="I5" s="148"/>
      <c r="J5" s="149"/>
      <c r="L5" s="183" t="s">
        <v>105</v>
      </c>
      <c r="M5" s="161" t="s">
        <v>89</v>
      </c>
      <c r="N5" s="148"/>
      <c r="O5" s="148"/>
      <c r="P5" s="148"/>
      <c r="Q5" s="162" t="s">
        <v>82</v>
      </c>
      <c r="R5" s="148"/>
      <c r="S5" s="149"/>
    </row>
    <row r="6" spans="1:19" x14ac:dyDescent="0.25">
      <c r="A6" s="181"/>
      <c r="B6" s="159" t="s">
        <v>5</v>
      </c>
      <c r="C6" s="38">
        <v>2.0100000000000002</v>
      </c>
      <c r="D6" s="160">
        <v>1.6740000000000002</v>
      </c>
      <c r="E6" s="159">
        <v>2.1779999999999999</v>
      </c>
      <c r="F6" s="40">
        <v>314.63605530915731</v>
      </c>
      <c r="G6" s="201">
        <v>2.16</v>
      </c>
      <c r="H6" s="160">
        <v>1.5840000000000001</v>
      </c>
      <c r="I6" s="201">
        <v>2.3220000000000001</v>
      </c>
      <c r="J6" s="202">
        <v>286.76795987608796</v>
      </c>
      <c r="L6" s="183"/>
      <c r="M6" s="159" t="s">
        <v>5</v>
      </c>
      <c r="N6" s="38">
        <v>2.0100000000000002</v>
      </c>
      <c r="O6" s="160">
        <v>1.6740000000000002</v>
      </c>
      <c r="P6" s="159">
        <v>2.9039999999999999</v>
      </c>
      <c r="Q6" s="165">
        <v>2.16</v>
      </c>
      <c r="R6" s="160">
        <v>1.5840000000000001</v>
      </c>
      <c r="S6" s="165">
        <v>2.3220000000000001</v>
      </c>
    </row>
    <row r="7" spans="1:19" x14ac:dyDescent="0.25">
      <c r="A7" s="181"/>
      <c r="B7" s="144" t="s">
        <v>6</v>
      </c>
      <c r="C7" s="38">
        <v>1.98</v>
      </c>
      <c r="D7" s="145">
        <v>1.6927500000000002</v>
      </c>
      <c r="E7" s="144">
        <v>1.8855</v>
      </c>
      <c r="F7" s="40">
        <v>305.25459295105134</v>
      </c>
      <c r="G7" s="166">
        <v>2.16</v>
      </c>
      <c r="H7" s="145">
        <v>1.59975</v>
      </c>
      <c r="I7" s="166">
        <v>2.3199999999999998</v>
      </c>
      <c r="J7" s="40">
        <v>285.33685601056806</v>
      </c>
      <c r="L7" s="183"/>
      <c r="M7" s="144" t="s">
        <v>6</v>
      </c>
      <c r="N7" s="38">
        <v>1.98</v>
      </c>
      <c r="O7" s="145">
        <v>1.6927500000000002</v>
      </c>
      <c r="P7" s="144">
        <v>2.5139999999999998</v>
      </c>
      <c r="Q7" s="166">
        <v>2.16</v>
      </c>
      <c r="R7" s="145">
        <v>1.59975</v>
      </c>
      <c r="S7" s="166">
        <v>2.3199999999999998</v>
      </c>
    </row>
    <row r="8" spans="1:19" x14ac:dyDescent="0.25">
      <c r="A8" s="181"/>
      <c r="B8" s="144" t="s">
        <v>7</v>
      </c>
      <c r="C8" s="38">
        <v>2.0324999999999998</v>
      </c>
      <c r="D8" s="145">
        <v>1.7309999999999999</v>
      </c>
      <c r="E8" s="144">
        <v>2.0985</v>
      </c>
      <c r="F8" s="40">
        <v>306.36854666499181</v>
      </c>
      <c r="G8" s="166">
        <v>2.173</v>
      </c>
      <c r="H8" s="145">
        <v>1.6372499999999999</v>
      </c>
      <c r="I8" s="167">
        <v>2.3919999999999999</v>
      </c>
      <c r="J8" s="40">
        <v>287.08576461521523</v>
      </c>
      <c r="L8" s="183"/>
      <c r="M8" s="144" t="s">
        <v>7</v>
      </c>
      <c r="N8" s="38">
        <v>2.0324999999999998</v>
      </c>
      <c r="O8" s="145">
        <v>1.7309999999999999</v>
      </c>
      <c r="P8" s="144">
        <v>2.798</v>
      </c>
      <c r="Q8" s="166">
        <v>2.173</v>
      </c>
      <c r="R8" s="145">
        <v>1.6372499999999999</v>
      </c>
      <c r="S8" s="167">
        <v>2.3919999999999999</v>
      </c>
    </row>
    <row r="9" spans="1:19" x14ac:dyDescent="0.25">
      <c r="A9" s="181"/>
      <c r="B9" s="144" t="s">
        <v>8</v>
      </c>
      <c r="C9" s="38">
        <v>2.04</v>
      </c>
      <c r="D9" s="145">
        <v>1.74675</v>
      </c>
      <c r="E9" s="144">
        <v>2.0745</v>
      </c>
      <c r="F9" s="40">
        <v>304.78087649402391</v>
      </c>
      <c r="G9" s="166">
        <v>2.1629999999999998</v>
      </c>
      <c r="H9" s="145">
        <v>1.65225</v>
      </c>
      <c r="I9" s="166">
        <v>2.3069999999999999</v>
      </c>
      <c r="J9" s="40">
        <v>287.07096774193548</v>
      </c>
      <c r="L9" s="183"/>
      <c r="M9" s="144" t="s">
        <v>8</v>
      </c>
      <c r="N9" s="38">
        <v>2.04</v>
      </c>
      <c r="O9" s="145">
        <v>1.74675</v>
      </c>
      <c r="P9" s="144">
        <v>2.766</v>
      </c>
      <c r="Q9" s="166">
        <v>2.1629999999999998</v>
      </c>
      <c r="R9" s="145">
        <v>1.65225</v>
      </c>
      <c r="S9" s="166">
        <v>2.3069999999999999</v>
      </c>
    </row>
    <row r="10" spans="1:19" x14ac:dyDescent="0.25">
      <c r="A10" s="181"/>
      <c r="B10" s="144" t="s">
        <v>9</v>
      </c>
      <c r="C10" s="38">
        <v>2.04</v>
      </c>
      <c r="D10" s="145">
        <v>1.7422499999999999</v>
      </c>
      <c r="E10" s="144">
        <v>1.6995</v>
      </c>
      <c r="F10" s="40">
        <v>304.49023591359509</v>
      </c>
      <c r="G10" s="166">
        <v>2.1589999999999998</v>
      </c>
      <c r="H10" s="145">
        <v>1.64775</v>
      </c>
      <c r="I10" s="166">
        <v>2.3119999999999998</v>
      </c>
      <c r="J10" s="40">
        <v>285.8656074147633</v>
      </c>
      <c r="L10" s="183"/>
      <c r="M10" s="144" t="s">
        <v>9</v>
      </c>
      <c r="N10" s="38">
        <v>2.04</v>
      </c>
      <c r="O10" s="145">
        <v>1.7422499999999999</v>
      </c>
      <c r="P10" s="144">
        <v>2.266</v>
      </c>
      <c r="Q10" s="166">
        <v>2.1589999999999998</v>
      </c>
      <c r="R10" s="145">
        <v>1.64775</v>
      </c>
      <c r="S10" s="166">
        <v>2.3119999999999998</v>
      </c>
    </row>
    <row r="11" spans="1:19" x14ac:dyDescent="0.25">
      <c r="A11" s="181"/>
      <c r="B11" s="144" t="s">
        <v>10</v>
      </c>
      <c r="C11" s="38">
        <v>2.0474999999999999</v>
      </c>
      <c r="D11" s="145">
        <v>1.7527500000000003</v>
      </c>
      <c r="E11" s="144">
        <v>2.3137499999999998</v>
      </c>
      <c r="F11" s="40">
        <v>304.14689498658964</v>
      </c>
      <c r="G11" s="166">
        <v>2.1720000000000002</v>
      </c>
      <c r="H11" s="145">
        <v>1.6582499999999998</v>
      </c>
      <c r="I11" s="166">
        <v>2.3170000000000002</v>
      </c>
      <c r="J11" s="40">
        <v>287.24881525292972</v>
      </c>
      <c r="L11" s="183"/>
      <c r="M11" s="144" t="s">
        <v>10</v>
      </c>
      <c r="N11" s="38">
        <v>2.0474999999999999</v>
      </c>
      <c r="O11" s="145">
        <v>1.7527500000000003</v>
      </c>
      <c r="P11" s="144">
        <v>3.085</v>
      </c>
      <c r="Q11" s="166">
        <v>2.1720000000000002</v>
      </c>
      <c r="R11" s="145">
        <v>1.6582499999999998</v>
      </c>
      <c r="S11" s="166">
        <v>2.3170000000000002</v>
      </c>
    </row>
    <row r="12" spans="1:19" x14ac:dyDescent="0.25">
      <c r="A12" s="181"/>
      <c r="B12" s="144" t="s">
        <v>11</v>
      </c>
      <c r="C12" s="38">
        <v>2.0474999999999999</v>
      </c>
      <c r="D12" s="145">
        <v>1.7557500000000001</v>
      </c>
      <c r="E12" s="144">
        <v>1.99125</v>
      </c>
      <c r="F12" s="40">
        <v>303.53319057815844</v>
      </c>
      <c r="G12" s="166">
        <v>2.1429999999999998</v>
      </c>
      <c r="H12" s="145">
        <v>1.6612499999999999</v>
      </c>
      <c r="I12" s="166">
        <v>2.3340000000000001</v>
      </c>
      <c r="J12" s="40">
        <v>285.4373242563268</v>
      </c>
      <c r="L12" s="183"/>
      <c r="M12" s="144" t="s">
        <v>11</v>
      </c>
      <c r="N12" s="38">
        <v>2.0474999999999999</v>
      </c>
      <c r="O12" s="145">
        <v>1.7557500000000001</v>
      </c>
      <c r="P12" s="144">
        <v>2.6549999999999998</v>
      </c>
      <c r="Q12" s="166">
        <v>2.1429999999999998</v>
      </c>
      <c r="R12" s="145">
        <v>1.6612499999999999</v>
      </c>
      <c r="S12" s="166">
        <v>2.3340000000000001</v>
      </c>
    </row>
    <row r="13" spans="1:19" x14ac:dyDescent="0.25">
      <c r="A13" s="181"/>
      <c r="B13" s="144" t="s">
        <v>12</v>
      </c>
      <c r="C13" s="38">
        <v>2.0324999999999998</v>
      </c>
      <c r="D13" s="145">
        <v>1.7324999999999999</v>
      </c>
      <c r="E13" s="144">
        <v>2.1989999999999998</v>
      </c>
      <c r="F13" s="40">
        <v>304.31708534353686</v>
      </c>
      <c r="G13" s="166">
        <v>2.1160000000000001</v>
      </c>
      <c r="H13" s="145">
        <v>1.6395</v>
      </c>
      <c r="I13" s="166">
        <v>2.355</v>
      </c>
      <c r="J13" s="40">
        <v>288.26156058427313</v>
      </c>
      <c r="L13" s="183"/>
      <c r="M13" s="144" t="s">
        <v>12</v>
      </c>
      <c r="N13" s="38">
        <v>2.0324999999999998</v>
      </c>
      <c r="O13" s="145">
        <v>1.7324999999999999</v>
      </c>
      <c r="P13" s="144">
        <v>2.9319999999999999</v>
      </c>
      <c r="Q13" s="166">
        <v>2.1160000000000001</v>
      </c>
      <c r="R13" s="145">
        <v>1.6395</v>
      </c>
      <c r="S13" s="166">
        <v>2.355</v>
      </c>
    </row>
    <row r="14" spans="1:19" x14ac:dyDescent="0.25">
      <c r="A14" s="181"/>
      <c r="B14" s="144" t="s">
        <v>13</v>
      </c>
      <c r="C14" s="38">
        <v>2.0550000000000002</v>
      </c>
      <c r="D14" s="145">
        <v>1.7415</v>
      </c>
      <c r="E14" s="144">
        <v>2.4037500000000001</v>
      </c>
      <c r="F14" s="40">
        <v>304.60740313748096</v>
      </c>
      <c r="G14" s="166">
        <v>2.0350000000000001</v>
      </c>
      <c r="H14" s="145">
        <v>1.6484999999999999</v>
      </c>
      <c r="I14" s="166">
        <v>2.2919999999999998</v>
      </c>
      <c r="J14" s="40">
        <v>287.31665228645386</v>
      </c>
      <c r="L14" s="183"/>
      <c r="M14" s="144" t="s">
        <v>13</v>
      </c>
      <c r="N14" s="38">
        <v>2.0550000000000002</v>
      </c>
      <c r="O14" s="145">
        <v>1.7415</v>
      </c>
      <c r="P14" s="144">
        <v>3.2050000000000001</v>
      </c>
      <c r="Q14" s="166">
        <v>2.0350000000000001</v>
      </c>
      <c r="R14" s="145">
        <v>1.6484999999999999</v>
      </c>
      <c r="S14" s="166">
        <v>2.2919999999999998</v>
      </c>
    </row>
    <row r="15" spans="1:19" x14ac:dyDescent="0.25">
      <c r="A15" s="181"/>
      <c r="B15" s="144" t="s">
        <v>14</v>
      </c>
      <c r="C15" s="38">
        <v>2.04</v>
      </c>
      <c r="D15" s="145">
        <v>1.7362500000000001</v>
      </c>
      <c r="E15" s="144">
        <v>1.34775</v>
      </c>
      <c r="F15" s="40">
        <v>303.40838669696348</v>
      </c>
      <c r="G15" s="166">
        <v>2.1190000000000002</v>
      </c>
      <c r="H15" s="145">
        <v>1.6425000000000001</v>
      </c>
      <c r="I15" s="166">
        <v>2.3380000000000001</v>
      </c>
      <c r="J15" s="40">
        <v>287.60367968632181</v>
      </c>
      <c r="L15" s="183"/>
      <c r="M15" s="144" t="s">
        <v>14</v>
      </c>
      <c r="N15" s="38">
        <v>2.04</v>
      </c>
      <c r="O15" s="145">
        <v>1.7362500000000001</v>
      </c>
      <c r="P15" s="144">
        <v>1.7969999999999999</v>
      </c>
      <c r="Q15" s="166">
        <v>2.1190000000000002</v>
      </c>
      <c r="R15" s="145">
        <v>1.6425000000000001</v>
      </c>
      <c r="S15" s="166">
        <v>2.3380000000000001</v>
      </c>
    </row>
    <row r="16" spans="1:19" x14ac:dyDescent="0.25">
      <c r="A16" s="181"/>
      <c r="B16" s="144" t="s">
        <v>15</v>
      </c>
      <c r="C16" s="38">
        <v>2.0324999999999998</v>
      </c>
      <c r="D16" s="145">
        <v>1.7369999999999999</v>
      </c>
      <c r="E16" s="144">
        <v>1.9830000000000001</v>
      </c>
      <c r="F16" s="40">
        <v>301.89379873746748</v>
      </c>
      <c r="G16" s="166">
        <v>2.13</v>
      </c>
      <c r="H16" s="145">
        <v>1.6432499999999999</v>
      </c>
      <c r="I16" s="166">
        <v>2.3239999999999998</v>
      </c>
      <c r="J16" s="40">
        <v>288.38993568769041</v>
      </c>
      <c r="L16" s="183"/>
      <c r="M16" s="144" t="s">
        <v>15</v>
      </c>
      <c r="N16" s="38">
        <v>2.0324999999999998</v>
      </c>
      <c r="O16" s="145">
        <v>1.7369999999999999</v>
      </c>
      <c r="P16" s="144">
        <v>2.6440000000000001</v>
      </c>
      <c r="Q16" s="166">
        <v>2.13</v>
      </c>
      <c r="R16" s="145">
        <v>1.6432499999999999</v>
      </c>
      <c r="S16" s="166">
        <v>2.3239999999999998</v>
      </c>
    </row>
    <row r="17" spans="1:19" x14ac:dyDescent="0.25">
      <c r="A17" s="181"/>
      <c r="B17" s="144" t="s">
        <v>16</v>
      </c>
      <c r="C17" s="38">
        <v>2.0550000000000002</v>
      </c>
      <c r="D17" s="145">
        <v>1.7385000000000002</v>
      </c>
      <c r="E17" s="144">
        <v>2.7600000000000002</v>
      </c>
      <c r="F17" s="40">
        <v>306.29735436591727</v>
      </c>
      <c r="G17" s="166">
        <v>2.11</v>
      </c>
      <c r="H17" s="145">
        <v>1.6455</v>
      </c>
      <c r="I17" s="166">
        <v>2.31</v>
      </c>
      <c r="J17" s="40">
        <v>286.92301881090879</v>
      </c>
      <c r="L17" s="183"/>
      <c r="M17" s="144" t="s">
        <v>16</v>
      </c>
      <c r="N17" s="38">
        <v>2.0550000000000002</v>
      </c>
      <c r="O17" s="145">
        <v>1.7385000000000002</v>
      </c>
      <c r="P17" s="144">
        <v>3.68</v>
      </c>
      <c r="Q17" s="166">
        <v>2.11</v>
      </c>
      <c r="R17" s="145">
        <v>1.6455</v>
      </c>
      <c r="S17" s="166">
        <v>2.31</v>
      </c>
    </row>
    <row r="18" spans="1:19" x14ac:dyDescent="0.25">
      <c r="A18" s="181"/>
      <c r="B18" s="144" t="s">
        <v>17</v>
      </c>
      <c r="C18" s="38">
        <v>1.2000000000000002</v>
      </c>
      <c r="D18" s="145">
        <v>0.95550000000000002</v>
      </c>
      <c r="E18" s="144">
        <v>0.79350000000000009</v>
      </c>
      <c r="F18" s="40">
        <v>317.38101885184483</v>
      </c>
      <c r="G18" s="168">
        <v>1.94</v>
      </c>
      <c r="H18" s="145">
        <v>0.90675000000000006</v>
      </c>
      <c r="I18" s="168">
        <v>2.2229999999999999</v>
      </c>
      <c r="J18" s="40">
        <v>298.20666097352688</v>
      </c>
      <c r="L18" s="183"/>
      <c r="M18" s="144" t="s">
        <v>17</v>
      </c>
      <c r="N18" s="38">
        <v>1.2000000000000002</v>
      </c>
      <c r="O18" s="145">
        <v>0.95550000000000002</v>
      </c>
      <c r="P18" s="144">
        <v>1.0580000000000001</v>
      </c>
      <c r="Q18" s="168">
        <v>1.94</v>
      </c>
      <c r="R18" s="145">
        <v>0.90675000000000006</v>
      </c>
      <c r="S18" s="168">
        <v>2.2229999999999999</v>
      </c>
    </row>
    <row r="20" spans="1:19" x14ac:dyDescent="0.25">
      <c r="B20" s="197" t="s">
        <v>99</v>
      </c>
      <c r="C20" s="206">
        <f>AVERAGE(C6:C18)</f>
        <v>1.9701923076923071</v>
      </c>
      <c r="D20" s="206">
        <f t="shared" ref="D20:J20" si="0">AVERAGE(D6:D18)</f>
        <v>1.6720384615384616</v>
      </c>
      <c r="E20" s="206">
        <f t="shared" si="0"/>
        <v>1.9790769230769232</v>
      </c>
      <c r="F20" s="206">
        <f t="shared" si="0"/>
        <v>306.23964923313684</v>
      </c>
      <c r="G20" s="206">
        <f t="shared" si="0"/>
        <v>2.1215384615384618</v>
      </c>
      <c r="H20" s="206">
        <f t="shared" si="0"/>
        <v>1.5820384615384613</v>
      </c>
      <c r="I20" s="206">
        <f t="shared" si="0"/>
        <v>2.3189230769230766</v>
      </c>
      <c r="J20" s="207">
        <f t="shared" si="0"/>
        <v>287.80883101515394</v>
      </c>
    </row>
    <row r="21" spans="1:19" x14ac:dyDescent="0.25">
      <c r="B21" s="209"/>
      <c r="C21" s="208"/>
      <c r="D21" s="208"/>
      <c r="E21" s="208"/>
      <c r="F21" s="208"/>
      <c r="G21" s="208"/>
      <c r="H21" s="208"/>
      <c r="I21" s="208"/>
      <c r="J21" s="208"/>
    </row>
    <row r="22" spans="1:19" x14ac:dyDescent="0.25">
      <c r="B22" s="209"/>
      <c r="C22" s="208" t="s">
        <v>110</v>
      </c>
      <c r="D22" s="208" t="s">
        <v>111</v>
      </c>
      <c r="E22" s="208"/>
      <c r="F22" s="208"/>
      <c r="G22" s="208"/>
      <c r="H22" s="208"/>
      <c r="I22" s="208"/>
      <c r="J22" s="208"/>
    </row>
    <row r="23" spans="1:19" x14ac:dyDescent="0.25">
      <c r="C23" s="210" t="s">
        <v>66</v>
      </c>
      <c r="D23" s="179" t="s">
        <v>93</v>
      </c>
      <c r="E23" s="180"/>
    </row>
    <row r="24" spans="1:19" x14ac:dyDescent="0.25">
      <c r="B24" s="211" t="s">
        <v>109</v>
      </c>
      <c r="C24" s="212">
        <f>C20*0.87</f>
        <v>1.7140673076923072</v>
      </c>
      <c r="D24" s="212">
        <f>1.05*G20</f>
        <v>2.227615384615385</v>
      </c>
    </row>
    <row r="25" spans="1:19" x14ac:dyDescent="0.25">
      <c r="C25" t="s">
        <v>112</v>
      </c>
      <c r="D25" t="s">
        <v>113</v>
      </c>
    </row>
    <row r="26" spans="1:19" x14ac:dyDescent="0.25">
      <c r="C26" s="193" t="s">
        <v>92</v>
      </c>
    </row>
    <row r="27" spans="1:19" x14ac:dyDescent="0.25">
      <c r="C27" s="188" t="s">
        <v>66</v>
      </c>
      <c r="D27" s="189"/>
      <c r="E27" s="190"/>
      <c r="F27" s="191" t="s">
        <v>93</v>
      </c>
      <c r="G27" s="192"/>
      <c r="H27" s="192"/>
      <c r="I27" s="204" t="s">
        <v>108</v>
      </c>
    </row>
    <row r="28" spans="1:19" x14ac:dyDescent="0.25">
      <c r="C28" s="64" t="s">
        <v>97</v>
      </c>
      <c r="D28" s="64" t="s">
        <v>98</v>
      </c>
      <c r="E28" s="64" t="s">
        <v>104</v>
      </c>
      <c r="F28" s="64" t="s">
        <v>97</v>
      </c>
      <c r="G28" s="64" t="s">
        <v>98</v>
      </c>
      <c r="H28" s="184" t="s">
        <v>104</v>
      </c>
      <c r="I28" s="205" t="s">
        <v>107</v>
      </c>
    </row>
    <row r="29" spans="1:19" x14ac:dyDescent="0.25">
      <c r="C29" s="185">
        <f>E6/D6 - 1</f>
        <v>0.30107526881720403</v>
      </c>
      <c r="D29" s="185">
        <f>D6/C6-1</f>
        <v>-0.16716417910447767</v>
      </c>
      <c r="E29" s="185">
        <f>E6/C6 - 1</f>
        <v>8.3582089552238559E-2</v>
      </c>
      <c r="F29" s="185">
        <f>I6/H6 - 1</f>
        <v>0.46590909090909083</v>
      </c>
      <c r="G29" s="185">
        <f>H6/G6-1</f>
        <v>-0.26666666666666672</v>
      </c>
      <c r="H29" s="185">
        <f>I6/G6 - 1</f>
        <v>7.4999999999999956E-2</v>
      </c>
      <c r="I29" s="186">
        <f>J6/F6 - 1</f>
        <v>-8.8572479100294199E-2</v>
      </c>
    </row>
    <row r="30" spans="1:19" x14ac:dyDescent="0.25">
      <c r="C30" s="186">
        <f>E7/D7 - 1</f>
        <v>0.11386796632698259</v>
      </c>
      <c r="D30" s="186">
        <f>D7/C7-1</f>
        <v>-0.14507575757575741</v>
      </c>
      <c r="E30" s="186">
        <f>E7/C7 - 1</f>
        <v>-4.7727272727272729E-2</v>
      </c>
      <c r="F30" s="186">
        <f>I7/H7 - 1</f>
        <v>0.45022659790592279</v>
      </c>
      <c r="G30" s="186">
        <f>H7/G7-1</f>
        <v>-0.25937500000000002</v>
      </c>
      <c r="H30" s="186">
        <f>I7/G7 - 1</f>
        <v>7.4074074074073959E-2</v>
      </c>
      <c r="I30" s="186">
        <f>J7/F7 - 1</f>
        <v>-6.5249589688162857E-2</v>
      </c>
    </row>
    <row r="31" spans="1:19" x14ac:dyDescent="0.25">
      <c r="C31" s="186">
        <f>E8/D8 - 1</f>
        <v>0.212305025996534</v>
      </c>
      <c r="D31" s="186">
        <f>D8/C8-1</f>
        <v>-0.14833948339483394</v>
      </c>
      <c r="E31" s="186">
        <f>E8/C8 - 1</f>
        <v>3.2472324723247459E-2</v>
      </c>
      <c r="F31" s="186">
        <f>I8/H8 - 1</f>
        <v>0.46098641013895247</v>
      </c>
      <c r="G31" s="186">
        <f>H8/G8-1</f>
        <v>-0.24654855039116441</v>
      </c>
      <c r="H31" s="186">
        <f>I8/G8 - 1</f>
        <v>0.10078232857800273</v>
      </c>
      <c r="I31" s="186">
        <f>J8/F8 - 1</f>
        <v>-6.2939822836519665E-2</v>
      </c>
    </row>
    <row r="32" spans="1:19" x14ac:dyDescent="0.25">
      <c r="C32" s="186">
        <f>E9/D9 - 1</f>
        <v>0.18763417775869473</v>
      </c>
      <c r="D32" s="186">
        <f>D9/C9-1</f>
        <v>-0.14375000000000004</v>
      </c>
      <c r="E32" s="186">
        <f>E9/C9 - 1</f>
        <v>1.6911764705882293E-2</v>
      </c>
      <c r="F32" s="186">
        <f>I9/H9 - 1</f>
        <v>0.39627780299591464</v>
      </c>
      <c r="G32" s="186">
        <f>H9/G9-1</f>
        <v>-0.23613037447988894</v>
      </c>
      <c r="H32" s="186">
        <f>I9/G9 - 1</f>
        <v>6.6574202496532564E-2</v>
      </c>
      <c r="I32" s="186">
        <f>J9/F9 - 1</f>
        <v>-5.8107020872865345E-2</v>
      </c>
    </row>
    <row r="33" spans="2:9" x14ac:dyDescent="0.25">
      <c r="C33" s="186">
        <f>E10/D10 - 1</f>
        <v>-2.4537236332328849E-2</v>
      </c>
      <c r="D33" s="186">
        <f>D10/C10-1</f>
        <v>-0.14595588235294121</v>
      </c>
      <c r="E33" s="186">
        <f>E10/C10 - 1</f>
        <v>-0.16691176470588232</v>
      </c>
      <c r="F33" s="186">
        <f>I10/H10 - 1</f>
        <v>0.40312547413139121</v>
      </c>
      <c r="G33" s="186">
        <f>H10/G10-1</f>
        <v>-0.23679944418712362</v>
      </c>
      <c r="H33" s="186">
        <f>I10/G10 - 1</f>
        <v>7.0866141732283561E-2</v>
      </c>
      <c r="I33" s="186">
        <f>J10/F10 - 1</f>
        <v>-6.116658697757682E-2</v>
      </c>
    </row>
    <row r="34" spans="2:9" x14ac:dyDescent="0.25">
      <c r="C34" s="186">
        <f>E11/D11 - 1</f>
        <v>0.32006846384253285</v>
      </c>
      <c r="D34" s="186">
        <f>D11/C11-1</f>
        <v>-0.14395604395604378</v>
      </c>
      <c r="E34" s="186">
        <f>E11/C11 - 1</f>
        <v>0.13003663003663002</v>
      </c>
      <c r="F34" s="186">
        <f>I11/H11 - 1</f>
        <v>0.39725614352480054</v>
      </c>
      <c r="G34" s="186">
        <f>H11/G11-1</f>
        <v>-0.23653314917127088</v>
      </c>
      <c r="H34" s="186">
        <f>I11/G11 - 1</f>
        <v>6.6758747697974297E-2</v>
      </c>
      <c r="I34" s="186">
        <f>J11/F11 - 1</f>
        <v>-5.5558942117114096E-2</v>
      </c>
    </row>
    <row r="35" spans="2:9" x14ac:dyDescent="0.25">
      <c r="C35" s="186">
        <f>E12/D12 - 1</f>
        <v>0.13413071337035443</v>
      </c>
      <c r="D35" s="186">
        <f>D12/C12-1</f>
        <v>-0.14249084249084232</v>
      </c>
      <c r="E35" s="186">
        <f>E12/C12 - 1</f>
        <v>-2.7472527472527486E-2</v>
      </c>
      <c r="F35" s="186">
        <f>I12/H12 - 1</f>
        <v>0.40496613995485342</v>
      </c>
      <c r="G35" s="186">
        <f>H12/G12-1</f>
        <v>-0.22480167988800748</v>
      </c>
      <c r="H35" s="186">
        <f>I12/G12 - 1</f>
        <v>8.9127391507233034E-2</v>
      </c>
      <c r="I35" s="186">
        <f>J12/F12 - 1</f>
        <v>-5.9617422026775113E-2</v>
      </c>
    </row>
    <row r="36" spans="2:9" x14ac:dyDescent="0.25">
      <c r="C36" s="186">
        <f>E13/D13 - 1</f>
        <v>0.26926406926406932</v>
      </c>
      <c r="D36" s="186">
        <f>D13/C13-1</f>
        <v>-0.14760147601476004</v>
      </c>
      <c r="E36" s="186">
        <f>E13/C13 - 1</f>
        <v>8.1918819188191883E-2</v>
      </c>
      <c r="F36" s="186">
        <f>I13/H13 - 1</f>
        <v>0.43641354071363225</v>
      </c>
      <c r="G36" s="186">
        <f>H13/G13-1</f>
        <v>-0.22518903591682427</v>
      </c>
      <c r="H36" s="186">
        <f>I13/G13 - 1</f>
        <v>0.11294896030245738</v>
      </c>
      <c r="I36" s="186">
        <f>J13/F13 - 1</f>
        <v>-5.2759196024564359E-2</v>
      </c>
    </row>
    <row r="37" spans="2:9" x14ac:dyDescent="0.25">
      <c r="C37" s="186">
        <f>E14/D14 - 1</f>
        <v>0.38027562446167096</v>
      </c>
      <c r="D37" s="186">
        <f>D14/C14-1</f>
        <v>-0.15255474452554751</v>
      </c>
      <c r="E37" s="186">
        <f>E14/C14 - 1</f>
        <v>0.16970802919708028</v>
      </c>
      <c r="F37" s="186">
        <f>I14/H14 - 1</f>
        <v>0.39035486806187447</v>
      </c>
      <c r="G37" s="186">
        <f>H14/G14-1</f>
        <v>-0.18992628992629002</v>
      </c>
      <c r="H37" s="186">
        <f>I14/G14 - 1</f>
        <v>0.12628992628992619</v>
      </c>
      <c r="I37" s="186">
        <f>J14/F14 - 1</f>
        <v>-5.6764053246674107E-2</v>
      </c>
    </row>
    <row r="38" spans="2:9" x14ac:dyDescent="0.25">
      <c r="C38" s="186">
        <f>E15/D15 - 1</f>
        <v>-0.22375809935205182</v>
      </c>
      <c r="D38" s="186">
        <f>D15/C15-1</f>
        <v>-0.14889705882352944</v>
      </c>
      <c r="E38" s="186">
        <f>E15/C15 - 1</f>
        <v>-0.33933823529411766</v>
      </c>
      <c r="F38" s="186">
        <f>I15/H15 - 1</f>
        <v>0.42343987823439866</v>
      </c>
      <c r="G38" s="186">
        <f>H15/G15-1</f>
        <v>-0.22487022180273719</v>
      </c>
      <c r="H38" s="186">
        <f>I15/G15 - 1</f>
        <v>0.10335063709296821</v>
      </c>
      <c r="I38" s="186">
        <f>J15/F15 - 1</f>
        <v>-5.2090541012061786E-2</v>
      </c>
    </row>
    <row r="39" spans="2:9" x14ac:dyDescent="0.25">
      <c r="C39" s="186">
        <f>E16/D16 - 1</f>
        <v>0.14162348877374797</v>
      </c>
      <c r="D39" s="186">
        <f>D16/C16-1</f>
        <v>-0.14538745387453866</v>
      </c>
      <c r="E39" s="186">
        <f>E16/C16 - 1</f>
        <v>-2.4354243542435206E-2</v>
      </c>
      <c r="F39" s="186">
        <f>I16/H16 - 1</f>
        <v>0.41427050053248138</v>
      </c>
      <c r="G39" s="186">
        <f>H16/G16-1</f>
        <v>-0.22852112676056335</v>
      </c>
      <c r="H39" s="186">
        <f>I16/G16 - 1</f>
        <v>9.1079812206572797E-2</v>
      </c>
      <c r="I39" s="186">
        <f>J16/F16 - 1</f>
        <v>-4.4730508232533439E-2</v>
      </c>
    </row>
    <row r="40" spans="2:9" x14ac:dyDescent="0.25">
      <c r="C40" s="186">
        <f>E17/D17 - 1</f>
        <v>0.5875754961173425</v>
      </c>
      <c r="D40" s="186">
        <f>D17/C17-1</f>
        <v>-0.15401459854014599</v>
      </c>
      <c r="E40" s="186">
        <f>E17/C17 - 1</f>
        <v>0.34306569343065685</v>
      </c>
      <c r="F40" s="186">
        <f>I17/H17 - 1</f>
        <v>0.40382862351868742</v>
      </c>
      <c r="G40" s="186">
        <f>H17/G17-1</f>
        <v>-0.2201421800947867</v>
      </c>
      <c r="H40" s="186">
        <f>I17/G17 - 1</f>
        <v>9.4786729857819996E-2</v>
      </c>
      <c r="I40" s="186">
        <f>J17/F17 - 1</f>
        <v>-6.3253355861059735E-2</v>
      </c>
    </row>
    <row r="41" spans="2:9" x14ac:dyDescent="0.25">
      <c r="C41" s="187">
        <f>E18/D18 - 1</f>
        <v>-0.16954474097331229</v>
      </c>
      <c r="D41" s="187">
        <f>D18/C18-1</f>
        <v>-0.2037500000000001</v>
      </c>
      <c r="E41" s="187">
        <f>E18/C18 - 1</f>
        <v>-0.33875</v>
      </c>
      <c r="F41" s="187">
        <f>I18/H18 - 1</f>
        <v>1.4516129032258061</v>
      </c>
      <c r="G41" s="187">
        <f>H18/G18-1</f>
        <v>-0.53260309278350504</v>
      </c>
      <c r="H41" s="187">
        <f>I18/G18 - 1</f>
        <v>0.14587628865979374</v>
      </c>
      <c r="I41" s="187">
        <f>J18/F18 - 1</f>
        <v>-6.0414318246513221E-2</v>
      </c>
    </row>
    <row r="43" spans="2:9" x14ac:dyDescent="0.25">
      <c r="B43" s="197" t="s">
        <v>99</v>
      </c>
      <c r="C43" s="194">
        <f>AVERAGE(C29:C41)</f>
        <v>0.17153693985164925</v>
      </c>
      <c r="D43" s="195">
        <f t="shared" ref="D43:I43" si="1">AVERAGE(D29:D41)</f>
        <v>-0.15299519389641675</v>
      </c>
      <c r="E43" s="195">
        <f t="shared" si="1"/>
        <v>-6.6814379160236963E-3</v>
      </c>
      <c r="F43" s="195">
        <f t="shared" si="1"/>
        <v>0.49989753644983126</v>
      </c>
      <c r="G43" s="195">
        <f t="shared" si="1"/>
        <v>-0.25600821631298676</v>
      </c>
      <c r="H43" s="196">
        <f t="shared" si="1"/>
        <v>9.3655018499664497E-2</v>
      </c>
      <c r="I43" s="196">
        <f t="shared" si="1"/>
        <v>-6.0094141249439598E-2</v>
      </c>
    </row>
  </sheetData>
  <mergeCells count="4">
    <mergeCell ref="L5:L18"/>
    <mergeCell ref="C27:E27"/>
    <mergeCell ref="F27:H27"/>
    <mergeCell ref="A4:A18"/>
  </mergeCells>
  <conditionalFormatting sqref="C29:I41 C43:I4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FuelConsumption_VAL21T04</vt:lpstr>
      <vt:lpstr>FuelConsumption_VAL21T05</vt:lpstr>
      <vt:lpstr>FuelConsumption_ARA21T06</vt:lpstr>
      <vt:lpstr>Thesis_FuelConT05vsT06_Real-Mat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Stefano.Rapisarda</dc:creator>
  <cp:lastModifiedBy>Matteo.Paganini</cp:lastModifiedBy>
  <dcterms:created xsi:type="dcterms:W3CDTF">2021-03-22T16:43:20Z</dcterms:created>
  <dcterms:modified xsi:type="dcterms:W3CDTF">2021-11-23T16:09:27Z</dcterms:modified>
</cp:coreProperties>
</file>