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tteo.Paganini\Desktop\DataEngineering\MasterDegree_Thesis_Material\Suspension_LoadCase_verification\"/>
    </mc:Choice>
  </mc:AlternateContent>
  <xr:revisionPtr revIDLastSave="0" documentId="13_ncr:1_{BCC6E681-609F-40AC-BB50-8AE220B6EC0F}" xr6:coauthVersionLast="47" xr6:coauthVersionMax="47" xr10:uidLastSave="{00000000-0000-0000-0000-000000000000}"/>
  <bookViews>
    <workbookView xWindow="-28920" yWindow="-120" windowWidth="29040" windowHeight="15840" firstSheet="4" activeTab="7" xr2:uid="{00000000-000D-0000-FFFF-FFFF00000000}"/>
  </bookViews>
  <sheets>
    <sheet name="Replicate Old V04" sheetId="1" r:id="rId1"/>
    <sheet name="V04+Updated Car Spec" sheetId="2" r:id="rId2"/>
    <sheet name="FromData2021" sheetId="3" r:id="rId3"/>
    <sheet name="Load_cases_selectionForThesis" sheetId="5" r:id="rId4"/>
    <sheet name="Load_Compare_Design_Real_Canopy" sheetId="6" r:id="rId5"/>
    <sheet name="Front_Forces_FEA(Matlab)_21data" sheetId="7" r:id="rId6"/>
    <sheet name="Rear_Forces_FEA(Matlab)_21data" sheetId="8" r:id="rId7"/>
    <sheet name="Load_Compare_TRICK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7" i="11" l="1"/>
  <c r="AB67" i="11" s="1"/>
  <c r="M38" i="11"/>
  <c r="AB68" i="11" s="1"/>
  <c r="M39" i="11"/>
  <c r="M69" i="11" s="1"/>
  <c r="AB39" i="11" s="1"/>
  <c r="M40" i="11"/>
  <c r="AB70" i="11" s="1"/>
  <c r="M41" i="11"/>
  <c r="M71" i="11" s="1"/>
  <c r="AB41" i="11" s="1"/>
  <c r="M36" i="11"/>
  <c r="M66" i="11" s="1"/>
  <c r="AB36" i="11" s="1"/>
  <c r="L36" i="11"/>
  <c r="L66" i="11" s="1"/>
  <c r="AA36" i="11" s="1"/>
  <c r="L37" i="11"/>
  <c r="AA67" i="11" s="1"/>
  <c r="L38" i="11"/>
  <c r="L68" i="11" s="1"/>
  <c r="AA38" i="11" s="1"/>
  <c r="L39" i="11"/>
  <c r="L40" i="11"/>
  <c r="AA70" i="11" s="1"/>
  <c r="L41" i="11"/>
  <c r="AA71" i="11" s="1"/>
  <c r="K37" i="11"/>
  <c r="Z67" i="11" s="1"/>
  <c r="K38" i="11"/>
  <c r="K68" i="11" s="1"/>
  <c r="Z7" i="11" s="1"/>
  <c r="K39" i="11"/>
  <c r="Z69" i="11" s="1"/>
  <c r="K40" i="11"/>
  <c r="Z70" i="11" s="1"/>
  <c r="K41" i="11"/>
  <c r="K71" i="11" s="1"/>
  <c r="Z41" i="11" s="1"/>
  <c r="K36" i="11"/>
  <c r="K66" i="11" s="1"/>
  <c r="Z5" i="11" s="1"/>
  <c r="J36" i="11"/>
  <c r="Y66" i="11" s="1"/>
  <c r="J37" i="11"/>
  <c r="J67" i="11" s="1"/>
  <c r="Y37" i="11" s="1"/>
  <c r="J38" i="11"/>
  <c r="J68" i="11" s="1"/>
  <c r="Y38" i="11" s="1"/>
  <c r="J39" i="11"/>
  <c r="J69" i="11" s="1"/>
  <c r="Y39" i="11" s="1"/>
  <c r="J40" i="11"/>
  <c r="J70" i="11" s="1"/>
  <c r="Y9" i="11" s="1"/>
  <c r="J41" i="11"/>
  <c r="Y71" i="11" s="1"/>
  <c r="I37" i="11"/>
  <c r="I67" i="11" s="1"/>
  <c r="X6" i="11" s="1"/>
  <c r="I38" i="11"/>
  <c r="I68" i="11" s="1"/>
  <c r="X38" i="11" s="1"/>
  <c r="I39" i="11"/>
  <c r="I69" i="11" s="1"/>
  <c r="X8" i="11" s="1"/>
  <c r="I40" i="11"/>
  <c r="I70" i="11" s="1"/>
  <c r="X40" i="11" s="1"/>
  <c r="I41" i="11"/>
  <c r="I71" i="11" s="1"/>
  <c r="X41" i="11" s="1"/>
  <c r="I36" i="11"/>
  <c r="X66" i="11" s="1"/>
  <c r="M52" i="11"/>
  <c r="M80" i="11" s="1"/>
  <c r="AB52" i="11" s="1"/>
  <c r="M53" i="11"/>
  <c r="M81" i="11" s="1"/>
  <c r="AB53" i="11" s="1"/>
  <c r="M54" i="11"/>
  <c r="AB82" i="11" s="1"/>
  <c r="M55" i="11"/>
  <c r="M83" i="11" s="1"/>
  <c r="AB24" i="11" s="1"/>
  <c r="M56" i="11"/>
  <c r="AB84" i="11" s="1"/>
  <c r="M51" i="11"/>
  <c r="F52" i="11"/>
  <c r="F53" i="11"/>
  <c r="F81" i="11" s="1"/>
  <c r="F54" i="11"/>
  <c r="F82" i="11" s="1"/>
  <c r="F55" i="11"/>
  <c r="F83" i="11" s="1"/>
  <c r="U55" i="11" s="1"/>
  <c r="F56" i="11"/>
  <c r="F51" i="11"/>
  <c r="F79" i="11" s="1"/>
  <c r="U20" i="11" s="1"/>
  <c r="I52" i="11"/>
  <c r="I80" i="11" s="1"/>
  <c r="X52" i="11" s="1"/>
  <c r="I53" i="11"/>
  <c r="I81" i="11" s="1"/>
  <c r="X53" i="11" s="1"/>
  <c r="I54" i="11"/>
  <c r="I82" i="11" s="1"/>
  <c r="X23" i="11" s="1"/>
  <c r="I55" i="11"/>
  <c r="X83" i="11" s="1"/>
  <c r="I56" i="11"/>
  <c r="X84" i="11" s="1"/>
  <c r="I51" i="11"/>
  <c r="I79" i="11" s="1"/>
  <c r="X51" i="11" s="1"/>
  <c r="G79" i="11"/>
  <c r="V51" i="11" s="1"/>
  <c r="H79" i="11"/>
  <c r="W51" i="11" s="1"/>
  <c r="J79" i="11"/>
  <c r="Y20" i="11" s="1"/>
  <c r="K79" i="11"/>
  <c r="Z20" i="11" s="1"/>
  <c r="L79" i="11"/>
  <c r="AA20" i="11" s="1"/>
  <c r="F80" i="11"/>
  <c r="U52" i="11" s="1"/>
  <c r="G80" i="11"/>
  <c r="V52" i="11" s="1"/>
  <c r="H80" i="11"/>
  <c r="W52" i="11" s="1"/>
  <c r="J80" i="11"/>
  <c r="Y52" i="11" s="1"/>
  <c r="K80" i="11"/>
  <c r="Z52" i="11" s="1"/>
  <c r="L80" i="11"/>
  <c r="AA21" i="11" s="1"/>
  <c r="G81" i="11"/>
  <c r="V53" i="11" s="1"/>
  <c r="H81" i="11"/>
  <c r="W53" i="11" s="1"/>
  <c r="J81" i="11"/>
  <c r="Y53" i="11" s="1"/>
  <c r="K81" i="11"/>
  <c r="Z22" i="11" s="1"/>
  <c r="L81" i="11"/>
  <c r="AA53" i="11" s="1"/>
  <c r="G82" i="11"/>
  <c r="V54" i="11" s="1"/>
  <c r="H82" i="11"/>
  <c r="W54" i="11" s="1"/>
  <c r="J82" i="11"/>
  <c r="Y54" i="11" s="1"/>
  <c r="K82" i="11"/>
  <c r="Z54" i="11" s="1"/>
  <c r="L82" i="11"/>
  <c r="AA54" i="11" s="1"/>
  <c r="G83" i="11"/>
  <c r="V55" i="11" s="1"/>
  <c r="H83" i="11"/>
  <c r="W55" i="11" s="1"/>
  <c r="J83" i="11"/>
  <c r="Y24" i="11" s="1"/>
  <c r="K83" i="11"/>
  <c r="Z55" i="11" s="1"/>
  <c r="L83" i="11"/>
  <c r="AA55" i="11" s="1"/>
  <c r="F84" i="11"/>
  <c r="U25" i="11" s="1"/>
  <c r="G84" i="11"/>
  <c r="V56" i="11" s="1"/>
  <c r="H84" i="11"/>
  <c r="W56" i="11" s="1"/>
  <c r="J84" i="11"/>
  <c r="Y56" i="11" s="1"/>
  <c r="K84" i="11"/>
  <c r="Z56" i="11" s="1"/>
  <c r="L84" i="11"/>
  <c r="AA56" i="11" s="1"/>
  <c r="E80" i="11"/>
  <c r="T21" i="11" s="1"/>
  <c r="E81" i="11"/>
  <c r="T53" i="11" s="1"/>
  <c r="E82" i="11"/>
  <c r="T23" i="11" s="1"/>
  <c r="E83" i="11"/>
  <c r="T55" i="11" s="1"/>
  <c r="E84" i="11"/>
  <c r="T25" i="11" s="1"/>
  <c r="E79" i="11"/>
  <c r="T51" i="11" s="1"/>
  <c r="F66" i="11"/>
  <c r="U5" i="11" s="1"/>
  <c r="G66" i="11"/>
  <c r="V36" i="11" s="1"/>
  <c r="H66" i="11"/>
  <c r="W36" i="11" s="1"/>
  <c r="F67" i="11"/>
  <c r="U6" i="11" s="1"/>
  <c r="G67" i="11"/>
  <c r="V37" i="11" s="1"/>
  <c r="H67" i="11"/>
  <c r="W37" i="11" s="1"/>
  <c r="F68" i="11"/>
  <c r="U7" i="11" s="1"/>
  <c r="G68" i="11"/>
  <c r="V38" i="11" s="1"/>
  <c r="H68" i="11"/>
  <c r="W38" i="11" s="1"/>
  <c r="M68" i="11"/>
  <c r="AB38" i="11" s="1"/>
  <c r="F69" i="11"/>
  <c r="U39" i="11" s="1"/>
  <c r="G69" i="11"/>
  <c r="V39" i="11" s="1"/>
  <c r="H69" i="11"/>
  <c r="W39" i="11" s="1"/>
  <c r="L69" i="11"/>
  <c r="AA8" i="11" s="1"/>
  <c r="F70" i="11"/>
  <c r="U40" i="11" s="1"/>
  <c r="G70" i="11"/>
  <c r="V40" i="11" s="1"/>
  <c r="H70" i="11"/>
  <c r="W40" i="11" s="1"/>
  <c r="F71" i="11"/>
  <c r="U10" i="11" s="1"/>
  <c r="G71" i="11"/>
  <c r="V41" i="11" s="1"/>
  <c r="H71" i="11"/>
  <c r="W41" i="11" s="1"/>
  <c r="E67" i="11"/>
  <c r="T37" i="11" s="1"/>
  <c r="E68" i="11"/>
  <c r="T38" i="11" s="1"/>
  <c r="E69" i="11"/>
  <c r="T39" i="11" s="1"/>
  <c r="E70" i="11"/>
  <c r="T9" i="11" s="1"/>
  <c r="E71" i="11"/>
  <c r="T10" i="11" s="1"/>
  <c r="E66" i="11"/>
  <c r="T5" i="11" s="1"/>
  <c r="AA84" i="11"/>
  <c r="Z84" i="11"/>
  <c r="Y84" i="11"/>
  <c r="U84" i="11"/>
  <c r="T84" i="11"/>
  <c r="AA83" i="11"/>
  <c r="Z83" i="11"/>
  <c r="Y83" i="11"/>
  <c r="T83" i="11"/>
  <c r="AA82" i="11"/>
  <c r="Z82" i="11"/>
  <c r="Y82" i="11"/>
  <c r="U82" i="11"/>
  <c r="T82" i="11"/>
  <c r="AA81" i="11"/>
  <c r="Z81" i="11"/>
  <c r="Y81" i="11"/>
  <c r="U81" i="11"/>
  <c r="T81" i="11"/>
  <c r="AA80" i="11"/>
  <c r="Z80" i="11"/>
  <c r="Y80" i="11"/>
  <c r="U80" i="11"/>
  <c r="T80" i="11"/>
  <c r="AA79" i="11"/>
  <c r="Z79" i="11"/>
  <c r="Y79" i="11"/>
  <c r="T79" i="11"/>
  <c r="U71" i="11"/>
  <c r="T71" i="11"/>
  <c r="U70" i="11"/>
  <c r="T70" i="11"/>
  <c r="AA69" i="11"/>
  <c r="U69" i="11"/>
  <c r="T69" i="11"/>
  <c r="U68" i="11"/>
  <c r="T68" i="11"/>
  <c r="U67" i="11"/>
  <c r="T67" i="11"/>
  <c r="Z66" i="11"/>
  <c r="U66" i="11"/>
  <c r="T66" i="11"/>
  <c r="U79" i="6"/>
  <c r="X79" i="6"/>
  <c r="Y79" i="6"/>
  <c r="Z79" i="6"/>
  <c r="AA79" i="6"/>
  <c r="AB79" i="6"/>
  <c r="U80" i="6"/>
  <c r="X80" i="6"/>
  <c r="Y80" i="6"/>
  <c r="Z80" i="6"/>
  <c r="AA80" i="6"/>
  <c r="AB80" i="6"/>
  <c r="U81" i="6"/>
  <c r="X81" i="6"/>
  <c r="Y81" i="6"/>
  <c r="Z81" i="6"/>
  <c r="AA81" i="6"/>
  <c r="AB81" i="6"/>
  <c r="U82" i="6"/>
  <c r="X82" i="6"/>
  <c r="Y82" i="6"/>
  <c r="Z82" i="6"/>
  <c r="AA82" i="6"/>
  <c r="AB82" i="6"/>
  <c r="U83" i="6"/>
  <c r="X83" i="6"/>
  <c r="Y83" i="6"/>
  <c r="Z83" i="6"/>
  <c r="AA83" i="6"/>
  <c r="AB83" i="6"/>
  <c r="U84" i="6"/>
  <c r="X84" i="6"/>
  <c r="Y84" i="6"/>
  <c r="Z84" i="6"/>
  <c r="AA84" i="6"/>
  <c r="AB84" i="6"/>
  <c r="T80" i="6"/>
  <c r="T81" i="6"/>
  <c r="T82" i="6"/>
  <c r="T83" i="6"/>
  <c r="T84" i="6"/>
  <c r="T79" i="6"/>
  <c r="U66" i="6"/>
  <c r="X66" i="6"/>
  <c r="Y66" i="6"/>
  <c r="Z66" i="6"/>
  <c r="AA66" i="6"/>
  <c r="AB66" i="6"/>
  <c r="U67" i="6"/>
  <c r="X67" i="6"/>
  <c r="Y67" i="6"/>
  <c r="Z67" i="6"/>
  <c r="AA67" i="6"/>
  <c r="AB67" i="6"/>
  <c r="U68" i="6"/>
  <c r="X68" i="6"/>
  <c r="Y68" i="6"/>
  <c r="Z68" i="6"/>
  <c r="AA68" i="6"/>
  <c r="AB68" i="6"/>
  <c r="U69" i="6"/>
  <c r="X69" i="6"/>
  <c r="Y69" i="6"/>
  <c r="Z69" i="6"/>
  <c r="AA69" i="6"/>
  <c r="AB69" i="6"/>
  <c r="U70" i="6"/>
  <c r="X70" i="6"/>
  <c r="Y70" i="6"/>
  <c r="Z70" i="6"/>
  <c r="AA70" i="6"/>
  <c r="AB70" i="6"/>
  <c r="U71" i="6"/>
  <c r="X71" i="6"/>
  <c r="Y71" i="6"/>
  <c r="Z71" i="6"/>
  <c r="AA71" i="6"/>
  <c r="AB71" i="6"/>
  <c r="T67" i="6"/>
  <c r="T68" i="6"/>
  <c r="T69" i="6"/>
  <c r="T70" i="6"/>
  <c r="T71" i="6"/>
  <c r="T66" i="6"/>
  <c r="U51" i="6"/>
  <c r="V51" i="6"/>
  <c r="W51" i="6"/>
  <c r="X51" i="6"/>
  <c r="Y51" i="6"/>
  <c r="Z51" i="6"/>
  <c r="AA51" i="6"/>
  <c r="U52" i="6"/>
  <c r="V52" i="6"/>
  <c r="W52" i="6"/>
  <c r="X52" i="6"/>
  <c r="Y52" i="6"/>
  <c r="Z52" i="6"/>
  <c r="AA52" i="6"/>
  <c r="U53" i="6"/>
  <c r="V53" i="6"/>
  <c r="W53" i="6"/>
  <c r="X53" i="6"/>
  <c r="Y53" i="6"/>
  <c r="Z53" i="6"/>
  <c r="AA53" i="6"/>
  <c r="U54" i="6"/>
  <c r="V54" i="6"/>
  <c r="W54" i="6"/>
  <c r="X54" i="6"/>
  <c r="Y54" i="6"/>
  <c r="Z54" i="6"/>
  <c r="AA54" i="6"/>
  <c r="U55" i="6"/>
  <c r="V55" i="6"/>
  <c r="W55" i="6"/>
  <c r="X55" i="6"/>
  <c r="Y55" i="6"/>
  <c r="Z55" i="6"/>
  <c r="AA55" i="6"/>
  <c r="U56" i="6"/>
  <c r="V56" i="6"/>
  <c r="W56" i="6"/>
  <c r="X56" i="6"/>
  <c r="Y56" i="6"/>
  <c r="Z56" i="6"/>
  <c r="AA56" i="6"/>
  <c r="T52" i="6"/>
  <c r="T53" i="6"/>
  <c r="T54" i="6"/>
  <c r="T55" i="6"/>
  <c r="T56" i="6"/>
  <c r="T51" i="6"/>
  <c r="V36" i="6"/>
  <c r="W36" i="6"/>
  <c r="X36" i="6"/>
  <c r="Y36" i="6"/>
  <c r="Z36" i="6"/>
  <c r="AA36" i="6"/>
  <c r="V37" i="6"/>
  <c r="W37" i="6"/>
  <c r="X37" i="6"/>
  <c r="Y37" i="6"/>
  <c r="Z37" i="6"/>
  <c r="AA37" i="6"/>
  <c r="V38" i="6"/>
  <c r="W38" i="6"/>
  <c r="X38" i="6"/>
  <c r="Y38" i="6"/>
  <c r="Z38" i="6"/>
  <c r="AA38" i="6"/>
  <c r="V39" i="6"/>
  <c r="W39" i="6"/>
  <c r="X39" i="6"/>
  <c r="Y39" i="6"/>
  <c r="Z39" i="6"/>
  <c r="AA39" i="6"/>
  <c r="V40" i="6"/>
  <c r="W40" i="6"/>
  <c r="X40" i="6"/>
  <c r="Y40" i="6"/>
  <c r="Z40" i="6"/>
  <c r="AA40" i="6"/>
  <c r="V41" i="6"/>
  <c r="W41" i="6"/>
  <c r="X41" i="6"/>
  <c r="Y41" i="6"/>
  <c r="Z41" i="6"/>
  <c r="AA41" i="6"/>
  <c r="T37" i="6"/>
  <c r="T38" i="6"/>
  <c r="T39" i="6"/>
  <c r="T40" i="6"/>
  <c r="T41" i="6"/>
  <c r="T36" i="6"/>
  <c r="U20" i="6"/>
  <c r="X20" i="6"/>
  <c r="Y20" i="6"/>
  <c r="Z20" i="6"/>
  <c r="AA20" i="6"/>
  <c r="U21" i="6"/>
  <c r="X21" i="6"/>
  <c r="Y21" i="6"/>
  <c r="Z21" i="6"/>
  <c r="AA21" i="6"/>
  <c r="U22" i="6"/>
  <c r="X22" i="6"/>
  <c r="Y22" i="6"/>
  <c r="Z22" i="6"/>
  <c r="AA22" i="6"/>
  <c r="U23" i="6"/>
  <c r="X23" i="6"/>
  <c r="Y23" i="6"/>
  <c r="Z23" i="6"/>
  <c r="AA23" i="6"/>
  <c r="U24" i="6"/>
  <c r="X24" i="6"/>
  <c r="Y24" i="6"/>
  <c r="Z24" i="6"/>
  <c r="AA24" i="6"/>
  <c r="U25" i="6"/>
  <c r="X25" i="6"/>
  <c r="Y25" i="6"/>
  <c r="Z25" i="6"/>
  <c r="AA25" i="6"/>
  <c r="T21" i="6"/>
  <c r="T22" i="6"/>
  <c r="T23" i="6"/>
  <c r="T24" i="6"/>
  <c r="T25" i="6"/>
  <c r="T20" i="6"/>
  <c r="T6" i="6"/>
  <c r="X6" i="6"/>
  <c r="Y6" i="6"/>
  <c r="Z6" i="6"/>
  <c r="AA6" i="6"/>
  <c r="T7" i="6"/>
  <c r="X7" i="6"/>
  <c r="Y7" i="6"/>
  <c r="Z7" i="6"/>
  <c r="AA7" i="6"/>
  <c r="T8" i="6"/>
  <c r="X8" i="6"/>
  <c r="Y8" i="6"/>
  <c r="Z8" i="6"/>
  <c r="AA8" i="6"/>
  <c r="T9" i="6"/>
  <c r="X9" i="6"/>
  <c r="Y9" i="6"/>
  <c r="Z9" i="6"/>
  <c r="AA9" i="6"/>
  <c r="T10" i="6"/>
  <c r="X10" i="6"/>
  <c r="Y10" i="6"/>
  <c r="Z10" i="6"/>
  <c r="AA10" i="6"/>
  <c r="X5" i="6"/>
  <c r="Y5" i="6"/>
  <c r="Z5" i="6"/>
  <c r="AA5" i="6"/>
  <c r="T5" i="6"/>
  <c r="M80" i="6"/>
  <c r="AB52" i="6" s="1"/>
  <c r="M81" i="6"/>
  <c r="AB53" i="6" s="1"/>
  <c r="M82" i="6"/>
  <c r="AB54" i="6" s="1"/>
  <c r="M83" i="6"/>
  <c r="AB55" i="6" s="1"/>
  <c r="M84" i="6"/>
  <c r="AB56" i="6" s="1"/>
  <c r="M79" i="6"/>
  <c r="AB51" i="6" s="1"/>
  <c r="M66" i="6"/>
  <c r="AB5" i="6" s="1"/>
  <c r="M67" i="6"/>
  <c r="AB37" i="6" s="1"/>
  <c r="M68" i="6"/>
  <c r="AB7" i="6" s="1"/>
  <c r="M69" i="6"/>
  <c r="AB39" i="6" s="1"/>
  <c r="M70" i="6"/>
  <c r="AB9" i="6" s="1"/>
  <c r="M71" i="6"/>
  <c r="AB10" i="6" s="1"/>
  <c r="F67" i="6"/>
  <c r="U6" i="6" s="1"/>
  <c r="F68" i="6"/>
  <c r="U7" i="6" s="1"/>
  <c r="F69" i="6"/>
  <c r="U8" i="6" s="1"/>
  <c r="F70" i="6"/>
  <c r="U40" i="6" s="1"/>
  <c r="F71" i="6"/>
  <c r="U10" i="6" s="1"/>
  <c r="F66" i="6"/>
  <c r="U5" i="6" s="1"/>
  <c r="AA68" i="11" l="1"/>
  <c r="Z71" i="11"/>
  <c r="L70" i="11"/>
  <c r="AA9" i="11" s="1"/>
  <c r="M67" i="11"/>
  <c r="AB37" i="11" s="1"/>
  <c r="AA66" i="11"/>
  <c r="AA52" i="11"/>
  <c r="AB71" i="11"/>
  <c r="AB69" i="11"/>
  <c r="X69" i="11"/>
  <c r="U79" i="11"/>
  <c r="U83" i="11"/>
  <c r="M84" i="11"/>
  <c r="AB25" i="11" s="1"/>
  <c r="AB66" i="11"/>
  <c r="Y68" i="11"/>
  <c r="L71" i="11"/>
  <c r="AA10" i="11" s="1"/>
  <c r="M70" i="11"/>
  <c r="AB9" i="11" s="1"/>
  <c r="K69" i="11"/>
  <c r="Z39" i="11" s="1"/>
  <c r="X67" i="11"/>
  <c r="X71" i="11"/>
  <c r="K67" i="11"/>
  <c r="Z37" i="11" s="1"/>
  <c r="K70" i="11"/>
  <c r="Z9" i="11" s="1"/>
  <c r="Y70" i="11"/>
  <c r="J71" i="11"/>
  <c r="Y41" i="11" s="1"/>
  <c r="L67" i="11"/>
  <c r="AA37" i="11" s="1"/>
  <c r="Y69" i="11"/>
  <c r="Z68" i="11"/>
  <c r="X70" i="11"/>
  <c r="J66" i="11"/>
  <c r="I66" i="11"/>
  <c r="X5" i="11" s="1"/>
  <c r="Y67" i="11"/>
  <c r="AB80" i="11"/>
  <c r="M82" i="11"/>
  <c r="AB54" i="11" s="1"/>
  <c r="X68" i="11"/>
  <c r="AB83" i="11"/>
  <c r="AB81" i="11"/>
  <c r="X37" i="11"/>
  <c r="X80" i="11"/>
  <c r="AB79" i="11"/>
  <c r="M79" i="11"/>
  <c r="X82" i="11"/>
  <c r="U51" i="11"/>
  <c r="X81" i="11"/>
  <c r="I84" i="11"/>
  <c r="U53" i="11"/>
  <c r="U22" i="11"/>
  <c r="U23" i="11"/>
  <c r="U54" i="11"/>
  <c r="X54" i="11"/>
  <c r="X79" i="11"/>
  <c r="Y25" i="11"/>
  <c r="I83" i="11"/>
  <c r="X55" i="11" s="1"/>
  <c r="X10" i="11"/>
  <c r="U21" i="11"/>
  <c r="U56" i="11"/>
  <c r="X21" i="11"/>
  <c r="Z24" i="11"/>
  <c r="U24" i="11"/>
  <c r="Z21" i="11"/>
  <c r="Z51" i="11"/>
  <c r="Z53" i="11"/>
  <c r="T52" i="11"/>
  <c r="T20" i="11"/>
  <c r="Z25" i="11"/>
  <c r="Z23" i="11"/>
  <c r="AA25" i="11"/>
  <c r="AA23" i="11"/>
  <c r="X20" i="11"/>
  <c r="AA51" i="11"/>
  <c r="AA22" i="11"/>
  <c r="AA24" i="11"/>
  <c r="Y22" i="11"/>
  <c r="Y55" i="11"/>
  <c r="AA5" i="11"/>
  <c r="Y51" i="11"/>
  <c r="Y21" i="11"/>
  <c r="T7" i="11"/>
  <c r="AA7" i="11"/>
  <c r="X22" i="11"/>
  <c r="T56" i="11"/>
  <c r="Y8" i="11"/>
  <c r="Y23" i="11"/>
  <c r="AB22" i="11"/>
  <c r="AB55" i="11"/>
  <c r="X7" i="11"/>
  <c r="T22" i="11"/>
  <c r="X9" i="11"/>
  <c r="Z36" i="11"/>
  <c r="Y6" i="11"/>
  <c r="T54" i="11"/>
  <c r="T24" i="11"/>
  <c r="Y7" i="11"/>
  <c r="Y40" i="11"/>
  <c r="Z38" i="11"/>
  <c r="X39" i="11"/>
  <c r="Z10" i="11"/>
  <c r="T8" i="11"/>
  <c r="AA39" i="11"/>
  <c r="U36" i="11"/>
  <c r="U38" i="11"/>
  <c r="U41" i="11"/>
  <c r="U9" i="11"/>
  <c r="T40" i="11"/>
  <c r="U37" i="11"/>
  <c r="U8" i="11"/>
  <c r="AB8" i="11"/>
  <c r="AB7" i="11"/>
  <c r="AB5" i="11"/>
  <c r="T6" i="11"/>
  <c r="T41" i="11"/>
  <c r="T36" i="11"/>
  <c r="AB21" i="11"/>
  <c r="AB10" i="11"/>
  <c r="U9" i="6"/>
  <c r="U38" i="6"/>
  <c r="AB8" i="6"/>
  <c r="U41" i="6"/>
  <c r="AB6" i="6"/>
  <c r="U36" i="6"/>
  <c r="U37" i="6"/>
  <c r="U39" i="6"/>
  <c r="AB22" i="6"/>
  <c r="AB41" i="6"/>
  <c r="AB40" i="6"/>
  <c r="AB38" i="6"/>
  <c r="AB36" i="6"/>
  <c r="AB23" i="6"/>
  <c r="AB24" i="6"/>
  <c r="AB20" i="6"/>
  <c r="AB25" i="6"/>
  <c r="AB21" i="6"/>
  <c r="N79" i="8"/>
  <c r="N82" i="8" s="1"/>
  <c r="M79" i="8"/>
  <c r="M82" i="8" s="1"/>
  <c r="L79" i="8"/>
  <c r="L82" i="8" s="1"/>
  <c r="K79" i="8"/>
  <c r="K80" i="8" s="1"/>
  <c r="J79" i="8"/>
  <c r="J81" i="8" s="1"/>
  <c r="I79" i="8"/>
  <c r="H79" i="8"/>
  <c r="H82" i="8" s="1"/>
  <c r="G79" i="8"/>
  <c r="G82" i="8" s="1"/>
  <c r="F79" i="8"/>
  <c r="F82" i="8" s="1"/>
  <c r="E79" i="8"/>
  <c r="E82" i="8" s="1"/>
  <c r="AD82" i="8" s="1"/>
  <c r="N73" i="8"/>
  <c r="M73" i="8"/>
  <c r="M76" i="8" s="1"/>
  <c r="L73" i="8"/>
  <c r="L76" i="8" s="1"/>
  <c r="K73" i="8"/>
  <c r="K75" i="8" s="1"/>
  <c r="J73" i="8"/>
  <c r="J76" i="8" s="1"/>
  <c r="I73" i="8"/>
  <c r="I75" i="8" s="1"/>
  <c r="H73" i="8"/>
  <c r="H74" i="8" s="1"/>
  <c r="G73" i="8"/>
  <c r="F73" i="8"/>
  <c r="F76" i="8" s="1"/>
  <c r="E73" i="8"/>
  <c r="E76" i="8" s="1"/>
  <c r="N67" i="8"/>
  <c r="N68" i="8" s="1"/>
  <c r="M67" i="8"/>
  <c r="M68" i="8" s="1"/>
  <c r="L67" i="8"/>
  <c r="L69" i="8" s="1"/>
  <c r="K67" i="8"/>
  <c r="J67" i="8"/>
  <c r="J70" i="8" s="1"/>
  <c r="I67" i="8"/>
  <c r="I70" i="8" s="1"/>
  <c r="H67" i="8"/>
  <c r="H69" i="8" s="1"/>
  <c r="G67" i="8"/>
  <c r="G70" i="8" s="1"/>
  <c r="F67" i="8"/>
  <c r="F68" i="8" s="1"/>
  <c r="E67" i="8"/>
  <c r="E69" i="8" s="1"/>
  <c r="N61" i="8"/>
  <c r="N64" i="8" s="1"/>
  <c r="M61" i="8"/>
  <c r="M63" i="8" s="1"/>
  <c r="L61" i="8"/>
  <c r="L64" i="8" s="1"/>
  <c r="K61" i="8"/>
  <c r="K63" i="8" s="1"/>
  <c r="J61" i="8"/>
  <c r="J62" i="8" s="1"/>
  <c r="I61" i="8"/>
  <c r="I63" i="8" s="1"/>
  <c r="H61" i="8"/>
  <c r="G61" i="8"/>
  <c r="G64" i="8" s="1"/>
  <c r="F61" i="8"/>
  <c r="F63" i="8" s="1"/>
  <c r="E61" i="8"/>
  <c r="E64" i="8" s="1"/>
  <c r="AD64" i="8" s="1"/>
  <c r="N55" i="8"/>
  <c r="N57" i="8" s="1"/>
  <c r="M55" i="8"/>
  <c r="L55" i="8"/>
  <c r="L58" i="8" s="1"/>
  <c r="K55" i="8"/>
  <c r="K58" i="8" s="1"/>
  <c r="J55" i="8"/>
  <c r="J57" i="8" s="1"/>
  <c r="I55" i="8"/>
  <c r="I58" i="8" s="1"/>
  <c r="H55" i="8"/>
  <c r="H58" i="8" s="1"/>
  <c r="G55" i="8"/>
  <c r="G57" i="8" s="1"/>
  <c r="F55" i="8"/>
  <c r="E55" i="8"/>
  <c r="E58" i="8" s="1"/>
  <c r="N49" i="8"/>
  <c r="N52" i="8" s="1"/>
  <c r="M49" i="8"/>
  <c r="M52" i="8" s="1"/>
  <c r="L49" i="8"/>
  <c r="L50" i="8" s="1"/>
  <c r="K49" i="8"/>
  <c r="K51" i="8" s="1"/>
  <c r="J49" i="8"/>
  <c r="I49" i="8"/>
  <c r="I52" i="8" s="1"/>
  <c r="H49" i="8"/>
  <c r="H52" i="8" s="1"/>
  <c r="G49" i="8"/>
  <c r="G52" i="8" s="1"/>
  <c r="F49" i="8"/>
  <c r="F51" i="8" s="1"/>
  <c r="E49" i="8"/>
  <c r="E50" i="8" s="1"/>
  <c r="N42" i="8"/>
  <c r="M42" i="8"/>
  <c r="L42" i="8"/>
  <c r="K42" i="8"/>
  <c r="J42" i="8"/>
  <c r="I42" i="8"/>
  <c r="H42" i="8"/>
  <c r="G42" i="8"/>
  <c r="F42" i="8"/>
  <c r="N41" i="8"/>
  <c r="M41" i="8"/>
  <c r="L41" i="8"/>
  <c r="K41" i="8"/>
  <c r="J41" i="8"/>
  <c r="I41" i="8"/>
  <c r="H41" i="8"/>
  <c r="G41" i="8"/>
  <c r="F41" i="8"/>
  <c r="N40" i="8"/>
  <c r="M40" i="8"/>
  <c r="L40" i="8"/>
  <c r="K40" i="8"/>
  <c r="J40" i="8"/>
  <c r="I40" i="8"/>
  <c r="H40" i="8"/>
  <c r="G40" i="8"/>
  <c r="F40" i="8"/>
  <c r="N39" i="8"/>
  <c r="M39" i="8"/>
  <c r="L39" i="8"/>
  <c r="K39" i="8"/>
  <c r="J39" i="8"/>
  <c r="I39" i="8"/>
  <c r="H39" i="8"/>
  <c r="G39" i="8"/>
  <c r="F39" i="8"/>
  <c r="N38" i="8"/>
  <c r="M38" i="8"/>
  <c r="L38" i="8"/>
  <c r="K38" i="8"/>
  <c r="J38" i="8"/>
  <c r="I38" i="8"/>
  <c r="H38" i="8"/>
  <c r="G38" i="8"/>
  <c r="F38" i="8"/>
  <c r="N37" i="8"/>
  <c r="M37" i="8"/>
  <c r="L37" i="8"/>
  <c r="K37" i="8"/>
  <c r="J37" i="8"/>
  <c r="I37" i="8"/>
  <c r="H37" i="8"/>
  <c r="G37" i="8"/>
  <c r="F37" i="8"/>
  <c r="Q29" i="8"/>
  <c r="P29" i="8"/>
  <c r="Q28" i="8"/>
  <c r="P28" i="8"/>
  <c r="Q27" i="8"/>
  <c r="P27" i="8"/>
  <c r="Q26" i="8"/>
  <c r="P26" i="8"/>
  <c r="Q25" i="8"/>
  <c r="P25" i="8"/>
  <c r="Q24" i="8"/>
  <c r="P24" i="8"/>
  <c r="N23" i="8"/>
  <c r="M23" i="8"/>
  <c r="L23" i="8"/>
  <c r="K23" i="8"/>
  <c r="J23" i="8"/>
  <c r="I23" i="8"/>
  <c r="H23" i="8"/>
  <c r="G23" i="8"/>
  <c r="F23" i="8"/>
  <c r="N22" i="8"/>
  <c r="M22" i="8"/>
  <c r="L22" i="8"/>
  <c r="K22" i="8"/>
  <c r="J22" i="8"/>
  <c r="I22" i="8"/>
  <c r="H22" i="8"/>
  <c r="G22" i="8"/>
  <c r="F22" i="8"/>
  <c r="N21" i="8"/>
  <c r="M21" i="8"/>
  <c r="L21" i="8"/>
  <c r="K21" i="8"/>
  <c r="J21" i="8"/>
  <c r="I21" i="8"/>
  <c r="H21" i="8"/>
  <c r="G21" i="8"/>
  <c r="F21" i="8"/>
  <c r="Q20" i="8"/>
  <c r="P20" i="8"/>
  <c r="Q19" i="8"/>
  <c r="P19" i="8"/>
  <c r="Q18" i="8"/>
  <c r="P18" i="8"/>
  <c r="Q17" i="8"/>
  <c r="P17" i="8"/>
  <c r="Q16" i="8"/>
  <c r="P16" i="8"/>
  <c r="Q15" i="8"/>
  <c r="P15" i="8"/>
  <c r="N14" i="8"/>
  <c r="M14" i="8"/>
  <c r="L14" i="8"/>
  <c r="K14" i="8"/>
  <c r="J14" i="8"/>
  <c r="J33" i="8" s="1"/>
  <c r="I14" i="8"/>
  <c r="H14" i="8"/>
  <c r="G14" i="8"/>
  <c r="F14" i="8"/>
  <c r="N13" i="8"/>
  <c r="M13" i="8"/>
  <c r="L13" i="8"/>
  <c r="L32" i="8" s="1"/>
  <c r="K13" i="8"/>
  <c r="J13" i="8"/>
  <c r="I13" i="8"/>
  <c r="H13" i="8"/>
  <c r="H32" i="8" s="1"/>
  <c r="G13" i="8"/>
  <c r="F13" i="8"/>
  <c r="N12" i="8"/>
  <c r="M12" i="8"/>
  <c r="L12" i="8"/>
  <c r="K12" i="8"/>
  <c r="J12" i="8"/>
  <c r="I12" i="8"/>
  <c r="H12" i="8"/>
  <c r="G12" i="8"/>
  <c r="F12" i="8"/>
  <c r="Q11" i="8"/>
  <c r="P11" i="8"/>
  <c r="Q10" i="8"/>
  <c r="P10" i="8"/>
  <c r="Q9" i="8"/>
  <c r="P9" i="8"/>
  <c r="Q8" i="8"/>
  <c r="P8" i="8"/>
  <c r="Q7" i="8"/>
  <c r="P7" i="8"/>
  <c r="Q6" i="8"/>
  <c r="P6" i="8"/>
  <c r="AB6" i="11" l="1"/>
  <c r="AA40" i="11"/>
  <c r="AA6" i="11"/>
  <c r="AB40" i="11"/>
  <c r="Z8" i="11"/>
  <c r="AB56" i="11"/>
  <c r="AA41" i="11"/>
  <c r="Z6" i="11"/>
  <c r="AB51" i="11"/>
  <c r="X36" i="11"/>
  <c r="Y36" i="11"/>
  <c r="Z40" i="11"/>
  <c r="Y10" i="11"/>
  <c r="AB23" i="11"/>
  <c r="Y5" i="11"/>
  <c r="AB20" i="11"/>
  <c r="X25" i="11"/>
  <c r="X56" i="11"/>
  <c r="X24" i="11"/>
  <c r="M33" i="8"/>
  <c r="F33" i="8"/>
  <c r="G68" i="8"/>
  <c r="M51" i="8"/>
  <c r="E80" i="8"/>
  <c r="K45" i="8"/>
  <c r="F62" i="8"/>
  <c r="G63" i="8"/>
  <c r="F64" i="8"/>
  <c r="T64" i="8" s="1"/>
  <c r="K57" i="8"/>
  <c r="J58" i="8"/>
  <c r="Y58" i="8" s="1"/>
  <c r="F50" i="8"/>
  <c r="H51" i="8"/>
  <c r="P22" i="8"/>
  <c r="L51" i="8"/>
  <c r="F74" i="8"/>
  <c r="F80" i="8"/>
  <c r="I46" i="8"/>
  <c r="F52" i="8"/>
  <c r="E75" i="8"/>
  <c r="V75" i="8" s="1"/>
  <c r="G80" i="8"/>
  <c r="U80" i="8" s="1"/>
  <c r="Q39" i="8"/>
  <c r="N80" i="8"/>
  <c r="AC80" i="8" s="1"/>
  <c r="F32" i="8"/>
  <c r="M32" i="8"/>
  <c r="K33" i="8"/>
  <c r="P21" i="8"/>
  <c r="M46" i="8"/>
  <c r="M69" i="8"/>
  <c r="E81" i="8"/>
  <c r="E83" i="8" s="1"/>
  <c r="H45" i="8"/>
  <c r="G32" i="8"/>
  <c r="N32" i="8"/>
  <c r="E70" i="8"/>
  <c r="AE70" i="8" s="1"/>
  <c r="L81" i="8"/>
  <c r="AA82" i="8"/>
  <c r="AA58" i="8"/>
  <c r="G69" i="8"/>
  <c r="G71" i="8" s="1"/>
  <c r="N70" i="8"/>
  <c r="V82" i="8"/>
  <c r="L46" i="8"/>
  <c r="N58" i="8"/>
  <c r="AC58" i="8" s="1"/>
  <c r="I64" i="8"/>
  <c r="X64" i="8" s="1"/>
  <c r="I69" i="8"/>
  <c r="X69" i="8" s="1"/>
  <c r="I74" i="8"/>
  <c r="W82" i="8"/>
  <c r="AE82" i="8"/>
  <c r="L33" i="8"/>
  <c r="K62" i="8"/>
  <c r="K65" i="8" s="1"/>
  <c r="K64" i="8"/>
  <c r="Z64" i="8" s="1"/>
  <c r="K74" i="8"/>
  <c r="K77" i="8" s="1"/>
  <c r="G46" i="8"/>
  <c r="N46" i="8"/>
  <c r="Q40" i="8"/>
  <c r="V50" i="8"/>
  <c r="H57" i="8"/>
  <c r="M62" i="8"/>
  <c r="M64" i="8"/>
  <c r="AB64" i="8" s="1"/>
  <c r="H68" i="8"/>
  <c r="N69" i="8"/>
  <c r="Z76" i="8"/>
  <c r="M74" i="8"/>
  <c r="I76" i="8"/>
  <c r="X76" i="8" s="1"/>
  <c r="Y81" i="8"/>
  <c r="K81" i="8"/>
  <c r="J68" i="8"/>
  <c r="K76" i="8"/>
  <c r="P39" i="8"/>
  <c r="J32" i="8"/>
  <c r="H46" i="8"/>
  <c r="P23" i="8"/>
  <c r="M50" i="8"/>
  <c r="M53" i="8" s="1"/>
  <c r="H56" i="8"/>
  <c r="U64" i="8"/>
  <c r="AC64" i="8"/>
  <c r="J63" i="8"/>
  <c r="H75" i="8"/>
  <c r="H80" i="8"/>
  <c r="W80" i="8" s="1"/>
  <c r="J45" i="8"/>
  <c r="L45" i="8"/>
  <c r="N33" i="8"/>
  <c r="K46" i="8"/>
  <c r="I50" i="8"/>
  <c r="X50" i="8" s="1"/>
  <c r="E56" i="8"/>
  <c r="V56" i="8" s="1"/>
  <c r="G45" i="8"/>
  <c r="N45" i="8"/>
  <c r="H33" i="8"/>
  <c r="I31" i="8"/>
  <c r="E51" i="8"/>
  <c r="Z51" i="8" s="1"/>
  <c r="K52" i="8"/>
  <c r="J56" i="8"/>
  <c r="Y56" i="8" s="1"/>
  <c r="G58" i="8"/>
  <c r="U58" i="8" s="1"/>
  <c r="V64" i="8"/>
  <c r="H70" i="8"/>
  <c r="T82" i="8"/>
  <c r="AB82" i="8"/>
  <c r="L80" i="8"/>
  <c r="AA80" i="8" s="1"/>
  <c r="J82" i="8"/>
  <c r="Y82" i="8" s="1"/>
  <c r="G33" i="8"/>
  <c r="P14" i="8"/>
  <c r="J46" i="8"/>
  <c r="P40" i="8"/>
  <c r="L56" i="8"/>
  <c r="N63" i="8"/>
  <c r="F69" i="8"/>
  <c r="T69" i="8" s="1"/>
  <c r="L70" i="8"/>
  <c r="L75" i="8"/>
  <c r="U82" i="8"/>
  <c r="AC82" i="8"/>
  <c r="M80" i="8"/>
  <c r="AB80" i="8" s="1"/>
  <c r="Z80" i="8"/>
  <c r="Q22" i="8"/>
  <c r="K31" i="8"/>
  <c r="I33" i="8"/>
  <c r="P42" i="8"/>
  <c r="Q42" i="8"/>
  <c r="AA50" i="8"/>
  <c r="X58" i="8"/>
  <c r="AE58" i="8"/>
  <c r="H64" i="8"/>
  <c r="W64" i="8" s="1"/>
  <c r="H63" i="8"/>
  <c r="H62" i="8"/>
  <c r="AE64" i="8"/>
  <c r="AA76" i="8"/>
  <c r="J52" i="8"/>
  <c r="J51" i="8"/>
  <c r="J50" i="8"/>
  <c r="Q12" i="8"/>
  <c r="F45" i="8"/>
  <c r="F31" i="8"/>
  <c r="P12" i="8"/>
  <c r="M45" i="8"/>
  <c r="M31" i="8"/>
  <c r="I32" i="8"/>
  <c r="I45" i="8"/>
  <c r="P13" i="8"/>
  <c r="AD50" i="8"/>
  <c r="T76" i="8"/>
  <c r="AB76" i="8"/>
  <c r="V76" i="8"/>
  <c r="P38" i="8"/>
  <c r="Q38" i="8"/>
  <c r="Z58" i="8"/>
  <c r="W69" i="8"/>
  <c r="AE69" i="8"/>
  <c r="U69" i="8"/>
  <c r="G76" i="8"/>
  <c r="U76" i="8" s="1"/>
  <c r="G75" i="8"/>
  <c r="G74" i="8"/>
  <c r="N76" i="8"/>
  <c r="AC76" i="8" s="1"/>
  <c r="N75" i="8"/>
  <c r="N74" i="8"/>
  <c r="Q21" i="8"/>
  <c r="F46" i="8"/>
  <c r="AA69" i="8"/>
  <c r="Q37" i="8"/>
  <c r="P37" i="8"/>
  <c r="K32" i="8"/>
  <c r="Q41" i="8"/>
  <c r="F58" i="8"/>
  <c r="T58" i="8" s="1"/>
  <c r="F57" i="8"/>
  <c r="F56" i="8"/>
  <c r="M58" i="8"/>
  <c r="AB58" i="8" s="1"/>
  <c r="M57" i="8"/>
  <c r="M56" i="8"/>
  <c r="AE56" i="8"/>
  <c r="AA64" i="8"/>
  <c r="AB69" i="8"/>
  <c r="AD76" i="8"/>
  <c r="Q13" i="8"/>
  <c r="Q23" i="8"/>
  <c r="T50" i="8"/>
  <c r="F53" i="8"/>
  <c r="W58" i="8"/>
  <c r="K70" i="8"/>
  <c r="K69" i="8"/>
  <c r="Z69" i="8" s="1"/>
  <c r="K68" i="8"/>
  <c r="AC69" i="8"/>
  <c r="I82" i="8"/>
  <c r="X82" i="8" s="1"/>
  <c r="I81" i="8"/>
  <c r="X81" i="8" s="1"/>
  <c r="I80" i="8"/>
  <c r="Y76" i="8"/>
  <c r="T80" i="8"/>
  <c r="AE80" i="8"/>
  <c r="H31" i="8"/>
  <c r="G50" i="8"/>
  <c r="N50" i="8"/>
  <c r="E52" i="8"/>
  <c r="T52" i="8" s="1"/>
  <c r="L52" i="8"/>
  <c r="I56" i="8"/>
  <c r="V58" i="8"/>
  <c r="AD58" i="8"/>
  <c r="E62" i="8"/>
  <c r="Y62" i="8" s="1"/>
  <c r="L62" i="8"/>
  <c r="J64" i="8"/>
  <c r="Y64" i="8" s="1"/>
  <c r="F70" i="8"/>
  <c r="M70" i="8"/>
  <c r="J74" i="8"/>
  <c r="H76" i="8"/>
  <c r="W76" i="8" s="1"/>
  <c r="AE76" i="8"/>
  <c r="K82" i="8"/>
  <c r="Z82" i="8" s="1"/>
  <c r="G51" i="8"/>
  <c r="N51" i="8"/>
  <c r="I57" i="8"/>
  <c r="E63" i="8"/>
  <c r="X63" i="8" s="1"/>
  <c r="L63" i="8"/>
  <c r="V69" i="8"/>
  <c r="AD69" i="8"/>
  <c r="J75" i="8"/>
  <c r="F81" i="8"/>
  <c r="T81" i="8" s="1"/>
  <c r="M81" i="8"/>
  <c r="AB81" i="8" s="1"/>
  <c r="Q14" i="8"/>
  <c r="J31" i="8"/>
  <c r="H50" i="8"/>
  <c r="K56" i="8"/>
  <c r="G62" i="8"/>
  <c r="N62" i="8"/>
  <c r="I68" i="8"/>
  <c r="E74" i="8"/>
  <c r="AE74" i="8" s="1"/>
  <c r="L74" i="8"/>
  <c r="G81" i="8"/>
  <c r="U81" i="8" s="1"/>
  <c r="N81" i="8"/>
  <c r="AC81" i="8" s="1"/>
  <c r="V81" i="8"/>
  <c r="AD81" i="8"/>
  <c r="L31" i="8"/>
  <c r="I51" i="8"/>
  <c r="X51" i="8" s="1"/>
  <c r="E57" i="8"/>
  <c r="L57" i="8"/>
  <c r="M65" i="8"/>
  <c r="J69" i="8"/>
  <c r="Y69" i="8" s="1"/>
  <c r="F75" i="8"/>
  <c r="T75" i="8" s="1"/>
  <c r="M75" i="8"/>
  <c r="H81" i="8"/>
  <c r="W81" i="8" s="1"/>
  <c r="AE81" i="8"/>
  <c r="P41" i="8"/>
  <c r="K50" i="8"/>
  <c r="G56" i="8"/>
  <c r="N56" i="8"/>
  <c r="I62" i="8"/>
  <c r="E68" i="8"/>
  <c r="AB68" i="8" s="1"/>
  <c r="L68" i="8"/>
  <c r="J80" i="8"/>
  <c r="G31" i="8"/>
  <c r="N31" i="8"/>
  <c r="I77" i="8" l="1"/>
  <c r="N71" i="8"/>
  <c r="F65" i="8"/>
  <c r="AB50" i="8"/>
  <c r="AD70" i="8"/>
  <c r="W70" i="8"/>
  <c r="V70" i="8"/>
  <c r="U70" i="8"/>
  <c r="AC70" i="8"/>
  <c r="Z70" i="8"/>
  <c r="Y70" i="8"/>
  <c r="X70" i="8"/>
  <c r="AA70" i="8"/>
  <c r="AB70" i="8"/>
  <c r="W56" i="8"/>
  <c r="L59" i="8"/>
  <c r="T70" i="8"/>
  <c r="Z81" i="8"/>
  <c r="AA81" i="8"/>
  <c r="H59" i="8"/>
  <c r="L83" i="8"/>
  <c r="Z57" i="8"/>
  <c r="Y75" i="8"/>
  <c r="X52" i="8"/>
  <c r="AC75" i="8"/>
  <c r="T68" i="8"/>
  <c r="W68" i="8"/>
  <c r="G83" i="8"/>
  <c r="AE52" i="8"/>
  <c r="AA75" i="8"/>
  <c r="W75" i="8"/>
  <c r="AD75" i="8"/>
  <c r="AE75" i="8"/>
  <c r="J65" i="8"/>
  <c r="U75" i="8"/>
  <c r="X75" i="8"/>
  <c r="Y52" i="8"/>
  <c r="Z75" i="8"/>
  <c r="AB52" i="8"/>
  <c r="AB75" i="8"/>
  <c r="AA52" i="8"/>
  <c r="Z52" i="8"/>
  <c r="H71" i="8"/>
  <c r="H77" i="8"/>
  <c r="U68" i="8"/>
  <c r="F71" i="8"/>
  <c r="H83" i="8"/>
  <c r="I53" i="8"/>
  <c r="AE51" i="8"/>
  <c r="AD51" i="8"/>
  <c r="AB51" i="8"/>
  <c r="T62" i="8"/>
  <c r="X57" i="8"/>
  <c r="V63" i="8"/>
  <c r="F83" i="8"/>
  <c r="AC51" i="8"/>
  <c r="Y57" i="8"/>
  <c r="AD56" i="8"/>
  <c r="K83" i="8"/>
  <c r="M83" i="8"/>
  <c r="J59" i="8"/>
  <c r="U51" i="8"/>
  <c r="V57" i="8"/>
  <c r="W51" i="8"/>
  <c r="L53" i="8"/>
  <c r="V51" i="8"/>
  <c r="AB57" i="8"/>
  <c r="AA57" i="8"/>
  <c r="U57" i="8"/>
  <c r="T51" i="8"/>
  <c r="Y51" i="8"/>
  <c r="AA56" i="8"/>
  <c r="AA51" i="8"/>
  <c r="U56" i="8"/>
  <c r="G59" i="8"/>
  <c r="E77" i="8"/>
  <c r="AB74" i="8"/>
  <c r="T74" i="8"/>
  <c r="X56" i="8"/>
  <c r="I59" i="8"/>
  <c r="F77" i="8"/>
  <c r="T63" i="8"/>
  <c r="AD74" i="8"/>
  <c r="X68" i="8"/>
  <c r="I71" i="8"/>
  <c r="AD68" i="8"/>
  <c r="W74" i="8"/>
  <c r="Q46" i="8"/>
  <c r="P46" i="8"/>
  <c r="W63" i="8"/>
  <c r="V74" i="8"/>
  <c r="N83" i="8"/>
  <c r="AC62" i="8"/>
  <c r="N65" i="8"/>
  <c r="V68" i="8"/>
  <c r="AD52" i="8"/>
  <c r="V52" i="8"/>
  <c r="X74" i="8"/>
  <c r="J71" i="8"/>
  <c r="AC57" i="8"/>
  <c r="AB56" i="8"/>
  <c r="M59" i="8"/>
  <c r="W52" i="8"/>
  <c r="AE57" i="8"/>
  <c r="Y63" i="8"/>
  <c r="M77" i="8"/>
  <c r="E53" i="8"/>
  <c r="M71" i="8"/>
  <c r="W62" i="8"/>
  <c r="H65" i="8"/>
  <c r="Q45" i="8"/>
  <c r="P45" i="8"/>
  <c r="AC68" i="8"/>
  <c r="AA62" i="8"/>
  <c r="L65" i="8"/>
  <c r="G53" i="8"/>
  <c r="U50" i="8"/>
  <c r="AC74" i="8"/>
  <c r="N77" i="8"/>
  <c r="E59" i="8"/>
  <c r="W57" i="8"/>
  <c r="U62" i="8"/>
  <c r="G65" i="8"/>
  <c r="N53" i="8"/>
  <c r="AC50" i="8"/>
  <c r="E71" i="8"/>
  <c r="Y68" i="8"/>
  <c r="Z56" i="8"/>
  <c r="K59" i="8"/>
  <c r="X62" i="8"/>
  <c r="I65" i="8"/>
  <c r="AD80" i="8"/>
  <c r="AE50" i="8"/>
  <c r="E65" i="8"/>
  <c r="AD62" i="8"/>
  <c r="V62" i="8"/>
  <c r="X80" i="8"/>
  <c r="I83" i="8"/>
  <c r="AB62" i="8"/>
  <c r="T56" i="8"/>
  <c r="F59" i="8"/>
  <c r="AC52" i="8"/>
  <c r="AD57" i="8"/>
  <c r="Z74" i="8"/>
  <c r="AE62" i="8"/>
  <c r="AA74" i="8"/>
  <c r="L77" i="8"/>
  <c r="AC63" i="8"/>
  <c r="U63" i="8"/>
  <c r="AB63" i="8"/>
  <c r="U74" i="8"/>
  <c r="G77" i="8"/>
  <c r="Y80" i="8"/>
  <c r="J83" i="8"/>
  <c r="Z50" i="8"/>
  <c r="K53" i="8"/>
  <c r="AA68" i="8"/>
  <c r="L71" i="8"/>
  <c r="Z68" i="8"/>
  <c r="K71" i="8"/>
  <c r="AC56" i="8"/>
  <c r="N59" i="8"/>
  <c r="AD63" i="8"/>
  <c r="V80" i="8"/>
  <c r="W50" i="8"/>
  <c r="H53" i="8"/>
  <c r="AA63" i="8"/>
  <c r="Y74" i="8"/>
  <c r="J77" i="8"/>
  <c r="T57" i="8"/>
  <c r="Z62" i="8"/>
  <c r="Z63" i="8"/>
  <c r="U52" i="8"/>
  <c r="AE68" i="8"/>
  <c r="Y50" i="8"/>
  <c r="J53" i="8"/>
  <c r="AE63" i="8"/>
  <c r="N79" i="7" l="1"/>
  <c r="N82" i="7" s="1"/>
  <c r="M79" i="7"/>
  <c r="M82" i="7" s="1"/>
  <c r="L79" i="7"/>
  <c r="L81" i="7" s="1"/>
  <c r="I79" i="7"/>
  <c r="I80" i="7" s="1"/>
  <c r="H79" i="7"/>
  <c r="H81" i="7" s="1"/>
  <c r="K79" i="7"/>
  <c r="K82" i="7" s="1"/>
  <c r="J79" i="7"/>
  <c r="J82" i="7" s="1"/>
  <c r="G79" i="7"/>
  <c r="G82" i="7" s="1"/>
  <c r="F79" i="7"/>
  <c r="F82" i="7" s="1"/>
  <c r="E79" i="7"/>
  <c r="E80" i="7" s="1"/>
  <c r="N73" i="7"/>
  <c r="N74" i="7" s="1"/>
  <c r="M73" i="7"/>
  <c r="M76" i="7" s="1"/>
  <c r="L73" i="7"/>
  <c r="L75" i="7" s="1"/>
  <c r="I73" i="7"/>
  <c r="I76" i="7" s="1"/>
  <c r="H73" i="7"/>
  <c r="H76" i="7" s="1"/>
  <c r="K73" i="7"/>
  <c r="K76" i="7" s="1"/>
  <c r="J73" i="7"/>
  <c r="J74" i="7" s="1"/>
  <c r="G73" i="7"/>
  <c r="G76" i="7" s="1"/>
  <c r="F73" i="7"/>
  <c r="F76" i="7" s="1"/>
  <c r="E73" i="7"/>
  <c r="E75" i="7" s="1"/>
  <c r="N67" i="7"/>
  <c r="N70" i="7" s="1"/>
  <c r="M67" i="7"/>
  <c r="M68" i="7" s="1"/>
  <c r="L67" i="7"/>
  <c r="L69" i="7" s="1"/>
  <c r="I67" i="7"/>
  <c r="I70" i="7" s="1"/>
  <c r="H67" i="7"/>
  <c r="H70" i="7" s="1"/>
  <c r="K67" i="7"/>
  <c r="K69" i="7" s="1"/>
  <c r="J67" i="7"/>
  <c r="J70" i="7" s="1"/>
  <c r="G67" i="7"/>
  <c r="G69" i="7" s="1"/>
  <c r="F67" i="7"/>
  <c r="F68" i="7" s="1"/>
  <c r="E67" i="7"/>
  <c r="E69" i="7" s="1"/>
  <c r="N61" i="7"/>
  <c r="N64" i="7" s="1"/>
  <c r="M61" i="7"/>
  <c r="M64" i="7" s="1"/>
  <c r="L61" i="7"/>
  <c r="L64" i="7" s="1"/>
  <c r="I61" i="7"/>
  <c r="I62" i="7" s="1"/>
  <c r="H61" i="7"/>
  <c r="H62" i="7" s="1"/>
  <c r="K61" i="7"/>
  <c r="K63" i="7" s="1"/>
  <c r="J61" i="7"/>
  <c r="J64" i="7" s="1"/>
  <c r="G61" i="7"/>
  <c r="G63" i="7" s="1"/>
  <c r="F61" i="7"/>
  <c r="F64" i="7" s="1"/>
  <c r="E61" i="7"/>
  <c r="E64" i="7" s="1"/>
  <c r="N55" i="7"/>
  <c r="N57" i="7" s="1"/>
  <c r="M55" i="7"/>
  <c r="M58" i="7" s="1"/>
  <c r="L55" i="7"/>
  <c r="L58" i="7" s="1"/>
  <c r="I55" i="7"/>
  <c r="I57" i="7" s="1"/>
  <c r="H55" i="7"/>
  <c r="H58" i="7" s="1"/>
  <c r="K55" i="7"/>
  <c r="K58" i="7" s="1"/>
  <c r="J55" i="7"/>
  <c r="J57" i="7" s="1"/>
  <c r="G55" i="7"/>
  <c r="G57" i="7" s="1"/>
  <c r="F55" i="7"/>
  <c r="F58" i="7" s="1"/>
  <c r="E55" i="7"/>
  <c r="E58" i="7" s="1"/>
  <c r="N49" i="7"/>
  <c r="N51" i="7" s="1"/>
  <c r="M49" i="7"/>
  <c r="M50" i="7" s="1"/>
  <c r="L49" i="7"/>
  <c r="L50" i="7" s="1"/>
  <c r="I49" i="7"/>
  <c r="I51" i="7" s="1"/>
  <c r="H49" i="7"/>
  <c r="H52" i="7" s="1"/>
  <c r="K49" i="7"/>
  <c r="K52" i="7" s="1"/>
  <c r="J49" i="7"/>
  <c r="J51" i="7" s="1"/>
  <c r="G49" i="7"/>
  <c r="G52" i="7" s="1"/>
  <c r="F49" i="7"/>
  <c r="F52" i="7" s="1"/>
  <c r="E49" i="7"/>
  <c r="E50" i="7" s="1"/>
  <c r="N42" i="7"/>
  <c r="M42" i="7"/>
  <c r="L42" i="7"/>
  <c r="I42" i="7"/>
  <c r="H42" i="7"/>
  <c r="K42" i="7"/>
  <c r="J42" i="7"/>
  <c r="G42" i="7"/>
  <c r="F42" i="7"/>
  <c r="N41" i="7"/>
  <c r="M41" i="7"/>
  <c r="L41" i="7"/>
  <c r="I41" i="7"/>
  <c r="H41" i="7"/>
  <c r="K41" i="7"/>
  <c r="J41" i="7"/>
  <c r="G41" i="7"/>
  <c r="F41" i="7"/>
  <c r="N40" i="7"/>
  <c r="M40" i="7"/>
  <c r="L40" i="7"/>
  <c r="I40" i="7"/>
  <c r="H40" i="7"/>
  <c r="K40" i="7"/>
  <c r="J40" i="7"/>
  <c r="G40" i="7"/>
  <c r="F40" i="7"/>
  <c r="N39" i="7"/>
  <c r="M39" i="7"/>
  <c r="L39" i="7"/>
  <c r="I39" i="7"/>
  <c r="H39" i="7"/>
  <c r="K39" i="7"/>
  <c r="J39" i="7"/>
  <c r="G39" i="7"/>
  <c r="F39" i="7"/>
  <c r="N38" i="7"/>
  <c r="M38" i="7"/>
  <c r="L38" i="7"/>
  <c r="I38" i="7"/>
  <c r="H38" i="7"/>
  <c r="K38" i="7"/>
  <c r="J38" i="7"/>
  <c r="G38" i="7"/>
  <c r="F38" i="7"/>
  <c r="N37" i="7"/>
  <c r="M37" i="7"/>
  <c r="L37" i="7"/>
  <c r="I37" i="7"/>
  <c r="H37" i="7"/>
  <c r="K37" i="7"/>
  <c r="J37" i="7"/>
  <c r="G37" i="7"/>
  <c r="F37" i="7"/>
  <c r="Q29" i="7"/>
  <c r="P29" i="7"/>
  <c r="Q28" i="7"/>
  <c r="P28" i="7"/>
  <c r="Q27" i="7"/>
  <c r="P27" i="7"/>
  <c r="Q26" i="7"/>
  <c r="P26" i="7"/>
  <c r="Q25" i="7"/>
  <c r="P25" i="7"/>
  <c r="Q24" i="7"/>
  <c r="P24" i="7"/>
  <c r="N23" i="7"/>
  <c r="M23" i="7"/>
  <c r="L23" i="7"/>
  <c r="I23" i="7"/>
  <c r="H23" i="7"/>
  <c r="K23" i="7"/>
  <c r="J23" i="7"/>
  <c r="G23" i="7"/>
  <c r="F23" i="7"/>
  <c r="N22" i="7"/>
  <c r="M22" i="7"/>
  <c r="L22" i="7"/>
  <c r="I22" i="7"/>
  <c r="H22" i="7"/>
  <c r="K22" i="7"/>
  <c r="J22" i="7"/>
  <c r="G22" i="7"/>
  <c r="F22" i="7"/>
  <c r="N21" i="7"/>
  <c r="M21" i="7"/>
  <c r="L21" i="7"/>
  <c r="I21" i="7"/>
  <c r="H21" i="7"/>
  <c r="K21" i="7"/>
  <c r="J21" i="7"/>
  <c r="G21" i="7"/>
  <c r="F21" i="7"/>
  <c r="Q20" i="7"/>
  <c r="P20" i="7"/>
  <c r="Q19" i="7"/>
  <c r="P19" i="7"/>
  <c r="Q18" i="7"/>
  <c r="P18" i="7"/>
  <c r="Q17" i="7"/>
  <c r="P17" i="7"/>
  <c r="Q16" i="7"/>
  <c r="P16" i="7"/>
  <c r="Q15" i="7"/>
  <c r="P15" i="7"/>
  <c r="N14" i="7"/>
  <c r="M14" i="7"/>
  <c r="L14" i="7"/>
  <c r="I14" i="7"/>
  <c r="I33" i="7" s="1"/>
  <c r="H14" i="7"/>
  <c r="K14" i="7"/>
  <c r="J14" i="7"/>
  <c r="J33" i="7" s="1"/>
  <c r="G14" i="7"/>
  <c r="F14" i="7"/>
  <c r="N13" i="7"/>
  <c r="M13" i="7"/>
  <c r="L13" i="7"/>
  <c r="I13" i="7"/>
  <c r="H13" i="7"/>
  <c r="K13" i="7"/>
  <c r="K32" i="7" s="1"/>
  <c r="J13" i="7"/>
  <c r="G13" i="7"/>
  <c r="F13" i="7"/>
  <c r="N12" i="7"/>
  <c r="M12" i="7"/>
  <c r="L12" i="7"/>
  <c r="I12" i="7"/>
  <c r="H12" i="7"/>
  <c r="K12" i="7"/>
  <c r="J12" i="7"/>
  <c r="G12" i="7"/>
  <c r="G31" i="7" s="1"/>
  <c r="F12" i="7"/>
  <c r="Q11" i="7"/>
  <c r="P11" i="7"/>
  <c r="Q10" i="7"/>
  <c r="P10" i="7"/>
  <c r="Q9" i="7"/>
  <c r="P9" i="7"/>
  <c r="Q8" i="7"/>
  <c r="P8" i="7"/>
  <c r="Q7" i="7"/>
  <c r="P7" i="7"/>
  <c r="Q6" i="7"/>
  <c r="P6" i="7"/>
  <c r="M32" i="7" l="1"/>
  <c r="J32" i="7"/>
  <c r="G33" i="7"/>
  <c r="N33" i="7"/>
  <c r="F33" i="7"/>
  <c r="M33" i="7"/>
  <c r="I52" i="7"/>
  <c r="G32" i="7"/>
  <c r="N32" i="7"/>
  <c r="L33" i="7"/>
  <c r="G50" i="7"/>
  <c r="U50" i="7" s="1"/>
  <c r="Y58" i="7"/>
  <c r="G80" i="7"/>
  <c r="U80" i="7" s="1"/>
  <c r="M81" i="7"/>
  <c r="I32" i="7"/>
  <c r="K33" i="7"/>
  <c r="H33" i="7"/>
  <c r="F50" i="7"/>
  <c r="F51" i="7"/>
  <c r="K56" i="7"/>
  <c r="N75" i="7"/>
  <c r="N77" i="7" s="1"/>
  <c r="N56" i="7"/>
  <c r="M52" i="7"/>
  <c r="E63" i="7"/>
  <c r="U63" i="7" s="1"/>
  <c r="L45" i="7"/>
  <c r="J46" i="7"/>
  <c r="N46" i="7"/>
  <c r="N58" i="7"/>
  <c r="AE58" i="7" s="1"/>
  <c r="H63" i="7"/>
  <c r="H75" i="7"/>
  <c r="Y75" i="7" s="1"/>
  <c r="G70" i="7"/>
  <c r="G71" i="7" s="1"/>
  <c r="H82" i="7"/>
  <c r="I63" i="7"/>
  <c r="G68" i="7"/>
  <c r="L82" i="7"/>
  <c r="G51" i="7"/>
  <c r="L63" i="7"/>
  <c r="AB50" i="7"/>
  <c r="L51" i="7"/>
  <c r="AA51" i="7" s="1"/>
  <c r="G58" i="7"/>
  <c r="U58" i="7" s="1"/>
  <c r="I64" i="7"/>
  <c r="Z64" i="7" s="1"/>
  <c r="K45" i="7"/>
  <c r="M51" i="7"/>
  <c r="J58" i="7"/>
  <c r="W58" i="7" s="1"/>
  <c r="E62" i="7"/>
  <c r="Z62" i="7" s="1"/>
  <c r="G46" i="7"/>
  <c r="J56" i="7"/>
  <c r="I58" i="7"/>
  <c r="Z58" i="7" s="1"/>
  <c r="L62" i="7"/>
  <c r="AC69" i="7"/>
  <c r="K75" i="7"/>
  <c r="K77" i="7" s="1"/>
  <c r="Q38" i="7"/>
  <c r="Q42" i="7"/>
  <c r="K51" i="7"/>
  <c r="N52" i="7"/>
  <c r="AC64" i="7"/>
  <c r="AD69" i="7"/>
  <c r="L80" i="7"/>
  <c r="AA80" i="7" s="1"/>
  <c r="E82" i="7"/>
  <c r="AD82" i="7" s="1"/>
  <c r="K46" i="7"/>
  <c r="Q37" i="7"/>
  <c r="Q40" i="7"/>
  <c r="E57" i="7"/>
  <c r="AE57" i="7" s="1"/>
  <c r="E70" i="7"/>
  <c r="AC70" i="7" s="1"/>
  <c r="M75" i="7"/>
  <c r="AB75" i="7" s="1"/>
  <c r="T82" i="7"/>
  <c r="M80" i="7"/>
  <c r="AB80" i="7" s="1"/>
  <c r="Q21" i="7"/>
  <c r="AC80" i="7"/>
  <c r="I45" i="7"/>
  <c r="I46" i="7"/>
  <c r="AC51" i="7"/>
  <c r="AC58" i="7"/>
  <c r="K70" i="7"/>
  <c r="K74" i="7"/>
  <c r="E76" i="7"/>
  <c r="U76" i="7" s="1"/>
  <c r="E81" i="7"/>
  <c r="AA81" i="7" s="1"/>
  <c r="L31" i="7"/>
  <c r="P37" i="7"/>
  <c r="Q39" i="7"/>
  <c r="P40" i="7"/>
  <c r="Q41" i="7"/>
  <c r="K57" i="7"/>
  <c r="AD70" i="7"/>
  <c r="V69" i="7"/>
  <c r="L70" i="7"/>
  <c r="AA70" i="7" s="1"/>
  <c r="H74" i="7"/>
  <c r="F81" i="7"/>
  <c r="F45" i="7"/>
  <c r="M45" i="7"/>
  <c r="F46" i="7"/>
  <c r="M46" i="7"/>
  <c r="E51" i="7"/>
  <c r="AE51" i="7" s="1"/>
  <c r="J52" i="7"/>
  <c r="L57" i="7"/>
  <c r="G64" i="7"/>
  <c r="U64" i="7" s="1"/>
  <c r="W70" i="7"/>
  <c r="AE70" i="7"/>
  <c r="H69" i="7"/>
  <c r="Y69" i="7" s="1"/>
  <c r="F75" i="7"/>
  <c r="T75" i="7" s="1"/>
  <c r="I81" i="7"/>
  <c r="F69" i="7"/>
  <c r="T69" i="7" s="1"/>
  <c r="G45" i="7"/>
  <c r="P23" i="7"/>
  <c r="P39" i="7"/>
  <c r="X58" i="7"/>
  <c r="K64" i="7"/>
  <c r="X64" i="7" s="1"/>
  <c r="X69" i="7"/>
  <c r="M69" i="7"/>
  <c r="AB69" i="7" s="1"/>
  <c r="J75" i="7"/>
  <c r="W75" i="7" s="1"/>
  <c r="L76" i="7"/>
  <c r="F80" i="7"/>
  <c r="T80" i="7" s="1"/>
  <c r="AA50" i="7"/>
  <c r="Q13" i="7"/>
  <c r="H32" i="7"/>
  <c r="T64" i="7"/>
  <c r="AB64" i="7"/>
  <c r="AA75" i="7"/>
  <c r="AA64" i="7"/>
  <c r="Z80" i="7"/>
  <c r="V64" i="7"/>
  <c r="AD64" i="7"/>
  <c r="J45" i="7"/>
  <c r="J31" i="7"/>
  <c r="Q12" i="7"/>
  <c r="N45" i="7"/>
  <c r="N31" i="7"/>
  <c r="P13" i="7"/>
  <c r="AA58" i="7"/>
  <c r="W64" i="7"/>
  <c r="AE64" i="7"/>
  <c r="U69" i="7"/>
  <c r="AA69" i="7"/>
  <c r="V75" i="7"/>
  <c r="AD75" i="7"/>
  <c r="Y62" i="7"/>
  <c r="H45" i="7"/>
  <c r="T58" i="7"/>
  <c r="AB58" i="7"/>
  <c r="AE75" i="7"/>
  <c r="Q23" i="7"/>
  <c r="L32" i="7"/>
  <c r="H46" i="7"/>
  <c r="E52" i="7"/>
  <c r="U52" i="7" s="1"/>
  <c r="L52" i="7"/>
  <c r="V58" i="7"/>
  <c r="AD58" i="7"/>
  <c r="H64" i="7"/>
  <c r="Y64" i="7" s="1"/>
  <c r="F70" i="7"/>
  <c r="T70" i="7" s="1"/>
  <c r="M70" i="7"/>
  <c r="AB70" i="7" s="1"/>
  <c r="J76" i="7"/>
  <c r="N76" i="7"/>
  <c r="I82" i="7"/>
  <c r="P14" i="7"/>
  <c r="P22" i="7"/>
  <c r="K31" i="7"/>
  <c r="F32" i="7"/>
  <c r="H56" i="7"/>
  <c r="F62" i="7"/>
  <c r="M62" i="7"/>
  <c r="J68" i="7"/>
  <c r="N68" i="7"/>
  <c r="I74" i="7"/>
  <c r="Q14" i="7"/>
  <c r="Q22" i="7"/>
  <c r="H31" i="7"/>
  <c r="L46" i="7"/>
  <c r="J50" i="7"/>
  <c r="N50" i="7"/>
  <c r="V51" i="7"/>
  <c r="AD51" i="7"/>
  <c r="I56" i="7"/>
  <c r="H57" i="7"/>
  <c r="N59" i="7"/>
  <c r="G62" i="7"/>
  <c r="F63" i="7"/>
  <c r="M63" i="7"/>
  <c r="K68" i="7"/>
  <c r="J69" i="7"/>
  <c r="W69" i="7" s="1"/>
  <c r="N69" i="7"/>
  <c r="AE69" i="7" s="1"/>
  <c r="E74" i="7"/>
  <c r="AE74" i="7" s="1"/>
  <c r="L74" i="7"/>
  <c r="I75" i="7"/>
  <c r="Z75" i="7" s="1"/>
  <c r="G81" i="7"/>
  <c r="U81" i="7" s="1"/>
  <c r="AC81" i="7"/>
  <c r="P21" i="7"/>
  <c r="I31" i="7"/>
  <c r="P38" i="7"/>
  <c r="P42" i="7"/>
  <c r="K50" i="7"/>
  <c r="E56" i="7"/>
  <c r="V56" i="7" s="1"/>
  <c r="L56" i="7"/>
  <c r="H68" i="7"/>
  <c r="F74" i="7"/>
  <c r="M74" i="7"/>
  <c r="J80" i="7"/>
  <c r="N80" i="7"/>
  <c r="V81" i="7"/>
  <c r="AD81" i="7"/>
  <c r="H50" i="7"/>
  <c r="F56" i="7"/>
  <c r="M56" i="7"/>
  <c r="J62" i="7"/>
  <c r="N62" i="7"/>
  <c r="I68" i="7"/>
  <c r="G74" i="7"/>
  <c r="K80" i="7"/>
  <c r="J81" i="7"/>
  <c r="W81" i="7" s="1"/>
  <c r="N81" i="7"/>
  <c r="AE81" i="7" s="1"/>
  <c r="P12" i="7"/>
  <c r="F31" i="7"/>
  <c r="M31" i="7"/>
  <c r="P41" i="7"/>
  <c r="I50" i="7"/>
  <c r="H51" i="7"/>
  <c r="Y51" i="7" s="1"/>
  <c r="G56" i="7"/>
  <c r="F57" i="7"/>
  <c r="M57" i="7"/>
  <c r="K62" i="7"/>
  <c r="J63" i="7"/>
  <c r="N63" i="7"/>
  <c r="E68" i="7"/>
  <c r="L68" i="7"/>
  <c r="I69" i="7"/>
  <c r="Z69" i="7" s="1"/>
  <c r="G75" i="7"/>
  <c r="U75" i="7" s="1"/>
  <c r="AC75" i="7"/>
  <c r="H80" i="7"/>
  <c r="K81" i="7"/>
  <c r="X81" i="7" s="1"/>
  <c r="X63" i="7" l="1"/>
  <c r="Y63" i="7"/>
  <c r="AD63" i="7"/>
  <c r="H77" i="7"/>
  <c r="V63" i="7"/>
  <c r="Y76" i="7"/>
  <c r="Z70" i="7"/>
  <c r="T51" i="7"/>
  <c r="Z63" i="7"/>
  <c r="F53" i="7"/>
  <c r="X75" i="7"/>
  <c r="L65" i="7"/>
  <c r="T50" i="7"/>
  <c r="K59" i="7"/>
  <c r="G53" i="7"/>
  <c r="AB82" i="7"/>
  <c r="AA52" i="7"/>
  <c r="V82" i="7"/>
  <c r="Y82" i="7"/>
  <c r="M83" i="7"/>
  <c r="Y81" i="7"/>
  <c r="U70" i="7"/>
  <c r="M53" i="7"/>
  <c r="AC63" i="7"/>
  <c r="AE63" i="7"/>
  <c r="Z82" i="7"/>
  <c r="E65" i="7"/>
  <c r="AA63" i="7"/>
  <c r="W63" i="7"/>
  <c r="I65" i="7"/>
  <c r="AE76" i="7"/>
  <c r="F83" i="7"/>
  <c r="AB63" i="7"/>
  <c r="L83" i="7"/>
  <c r="T63" i="7"/>
  <c r="U82" i="7"/>
  <c r="AA82" i="7"/>
  <c r="Y70" i="7"/>
  <c r="W76" i="7"/>
  <c r="AC82" i="7"/>
  <c r="T76" i="7"/>
  <c r="W82" i="7"/>
  <c r="Z51" i="7"/>
  <c r="J59" i="7"/>
  <c r="U57" i="7"/>
  <c r="AB81" i="7"/>
  <c r="Y57" i="7"/>
  <c r="Q46" i="7"/>
  <c r="AA62" i="7"/>
  <c r="Z81" i="7"/>
  <c r="T81" i="7"/>
  <c r="E83" i="7"/>
  <c r="X52" i="7"/>
  <c r="X82" i="7"/>
  <c r="AE82" i="7"/>
  <c r="V70" i="7"/>
  <c r="X70" i="7"/>
  <c r="AB51" i="7"/>
  <c r="Q45" i="7"/>
  <c r="AC50" i="7"/>
  <c r="P45" i="7"/>
  <c r="W51" i="7"/>
  <c r="J77" i="7"/>
  <c r="Y52" i="7"/>
  <c r="AD57" i="7"/>
  <c r="AA76" i="7"/>
  <c r="U51" i="7"/>
  <c r="AA57" i="7"/>
  <c r="AB57" i="7"/>
  <c r="W57" i="7"/>
  <c r="M71" i="7"/>
  <c r="AE52" i="7"/>
  <c r="X76" i="7"/>
  <c r="W52" i="7"/>
  <c r="Z76" i="7"/>
  <c r="Z57" i="7"/>
  <c r="T57" i="7"/>
  <c r="T52" i="7"/>
  <c r="V76" i="7"/>
  <c r="AD76" i="7"/>
  <c r="E53" i="7"/>
  <c r="X57" i="7"/>
  <c r="AC57" i="7"/>
  <c r="V57" i="7"/>
  <c r="AC76" i="7"/>
  <c r="X51" i="7"/>
  <c r="AB76" i="7"/>
  <c r="AD68" i="7"/>
  <c r="V68" i="7"/>
  <c r="E71" i="7"/>
  <c r="X80" i="7"/>
  <c r="K83" i="7"/>
  <c r="F59" i="7"/>
  <c r="T56" i="7"/>
  <c r="J83" i="7"/>
  <c r="W80" i="7"/>
  <c r="K53" i="7"/>
  <c r="X50" i="7"/>
  <c r="AD80" i="7"/>
  <c r="AE50" i="7"/>
  <c r="N53" i="7"/>
  <c r="W68" i="7"/>
  <c r="J71" i="7"/>
  <c r="AB68" i="7"/>
  <c r="X62" i="7"/>
  <c r="K65" i="7"/>
  <c r="AC74" i="7"/>
  <c r="M77" i="7"/>
  <c r="AB74" i="7"/>
  <c r="V80" i="7"/>
  <c r="W50" i="7"/>
  <c r="J53" i="7"/>
  <c r="AB62" i="7"/>
  <c r="M65" i="7"/>
  <c r="F71" i="7"/>
  <c r="AE56" i="7"/>
  <c r="W56" i="7"/>
  <c r="P46" i="7"/>
  <c r="AB52" i="7"/>
  <c r="Z52" i="7"/>
  <c r="AD56" i="7"/>
  <c r="Z56" i="7"/>
  <c r="I59" i="7"/>
  <c r="Y56" i="7"/>
  <c r="H59" i="7"/>
  <c r="AD52" i="7"/>
  <c r="AC52" i="7"/>
  <c r="L53" i="7"/>
  <c r="Z74" i="7"/>
  <c r="I77" i="7"/>
  <c r="Y80" i="7"/>
  <c r="H83" i="7"/>
  <c r="Z50" i="7"/>
  <c r="I53" i="7"/>
  <c r="M59" i="7"/>
  <c r="AB56" i="7"/>
  <c r="E59" i="7"/>
  <c r="X56" i="7"/>
  <c r="U62" i="7"/>
  <c r="G65" i="7"/>
  <c r="AE68" i="7"/>
  <c r="N71" i="7"/>
  <c r="AD74" i="7"/>
  <c r="U74" i="7"/>
  <c r="G77" i="7"/>
  <c r="H53" i="7"/>
  <c r="Y50" i="7"/>
  <c r="F77" i="7"/>
  <c r="T74" i="7"/>
  <c r="X68" i="7"/>
  <c r="K71" i="7"/>
  <c r="T62" i="7"/>
  <c r="F65" i="7"/>
  <c r="T68" i="7"/>
  <c r="Z68" i="7"/>
  <c r="I71" i="7"/>
  <c r="H71" i="7"/>
  <c r="Y68" i="7"/>
  <c r="AC56" i="7"/>
  <c r="AE62" i="7"/>
  <c r="N65" i="7"/>
  <c r="AD62" i="7"/>
  <c r="AA74" i="7"/>
  <c r="L77" i="7"/>
  <c r="AD50" i="7"/>
  <c r="H65" i="7"/>
  <c r="I83" i="7"/>
  <c r="V52" i="7"/>
  <c r="L59" i="7"/>
  <c r="AA56" i="7"/>
  <c r="AC62" i="7"/>
  <c r="N83" i="7"/>
  <c r="AE80" i="7"/>
  <c r="V74" i="7"/>
  <c r="AA68" i="7"/>
  <c r="L71" i="7"/>
  <c r="U56" i="7"/>
  <c r="G59" i="7"/>
  <c r="G83" i="7"/>
  <c r="J65" i="7"/>
  <c r="W62" i="7"/>
  <c r="V62" i="7"/>
  <c r="E77" i="7"/>
  <c r="Y74" i="7"/>
  <c r="V50" i="7"/>
  <c r="W74" i="7"/>
  <c r="AC68" i="7"/>
  <c r="U68" i="7"/>
  <c r="X74" i="7"/>
  <c r="K20" i="5" l="1"/>
  <c r="L20" i="5"/>
  <c r="M20" i="5" s="1"/>
  <c r="O20" i="5"/>
  <c r="S20" i="5"/>
  <c r="X20" i="5"/>
  <c r="AD20" i="5"/>
  <c r="AD23" i="5"/>
  <c r="X23" i="5"/>
  <c r="S23" i="5"/>
  <c r="O23" i="5"/>
  <c r="L23" i="5"/>
  <c r="M23" i="5" s="1"/>
  <c r="K23" i="5"/>
  <c r="AD22" i="5"/>
  <c r="X22" i="5"/>
  <c r="S22" i="5"/>
  <c r="O22" i="5"/>
  <c r="L22" i="5"/>
  <c r="M22" i="5" s="1"/>
  <c r="K22" i="5"/>
  <c r="AD21" i="5"/>
  <c r="X21" i="5"/>
  <c r="S21" i="5"/>
  <c r="O21" i="5"/>
  <c r="L21" i="5"/>
  <c r="M21" i="5" s="1"/>
  <c r="K21" i="5"/>
  <c r="AD19" i="5"/>
  <c r="X19" i="5"/>
  <c r="S19" i="5"/>
  <c r="O19" i="5"/>
  <c r="L19" i="5"/>
  <c r="M19" i="5" s="1"/>
  <c r="K19" i="5"/>
  <c r="AD18" i="5"/>
  <c r="X18" i="5"/>
  <c r="S18" i="5"/>
  <c r="O18" i="5"/>
  <c r="L18" i="5"/>
  <c r="M18" i="5" s="1"/>
  <c r="AC18" i="5" s="1"/>
  <c r="AF18" i="5" s="1"/>
  <c r="K18" i="5"/>
  <c r="AD18" i="3"/>
  <c r="AD19" i="3"/>
  <c r="AD20" i="3"/>
  <c r="AD21" i="3"/>
  <c r="AD22" i="3"/>
  <c r="AD23" i="3"/>
  <c r="AD24" i="3"/>
  <c r="AD25" i="3"/>
  <c r="AD26" i="3"/>
  <c r="AD17" i="3"/>
  <c r="S20" i="3"/>
  <c r="S21" i="3"/>
  <c r="S22" i="3"/>
  <c r="S23" i="3"/>
  <c r="S24" i="3"/>
  <c r="S25" i="3"/>
  <c r="S26" i="3"/>
  <c r="S18" i="3"/>
  <c r="S19" i="3"/>
  <c r="S17" i="3"/>
  <c r="O17" i="3"/>
  <c r="O19" i="3"/>
  <c r="O18" i="3"/>
  <c r="L17" i="3"/>
  <c r="M17" i="3" s="1"/>
  <c r="K17" i="3"/>
  <c r="K20" i="3"/>
  <c r="L20" i="3"/>
  <c r="M20" i="3" s="1"/>
  <c r="W20" i="3" s="1"/>
  <c r="AA20" i="3" s="1"/>
  <c r="O20" i="3"/>
  <c r="X20" i="3"/>
  <c r="T20" i="5" l="1"/>
  <c r="AB20" i="5"/>
  <c r="AC20" i="5"/>
  <c r="AF20" i="5" s="1"/>
  <c r="W20" i="5"/>
  <c r="Z20" i="5" s="1"/>
  <c r="P20" i="5"/>
  <c r="N20" i="5"/>
  <c r="Q20" i="5" s="1"/>
  <c r="V20" i="5"/>
  <c r="AE20" i="5"/>
  <c r="Y20" i="5"/>
  <c r="R20" i="5"/>
  <c r="U20" i="5" s="1"/>
  <c r="V18" i="5"/>
  <c r="W18" i="5"/>
  <c r="AA18" i="5" s="1"/>
  <c r="N18" i="5"/>
  <c r="Q18" i="5" s="1"/>
  <c r="AE18" i="5"/>
  <c r="P18" i="5"/>
  <c r="Y18" i="5"/>
  <c r="R22" i="5"/>
  <c r="U22" i="5" s="1"/>
  <c r="Y22" i="5"/>
  <c r="P22" i="5"/>
  <c r="AE22" i="5"/>
  <c r="W22" i="5"/>
  <c r="AA22" i="5" s="1"/>
  <c r="V22" i="5"/>
  <c r="N22" i="5"/>
  <c r="Q22" i="5" s="1"/>
  <c r="AB22" i="5"/>
  <c r="AC22" i="5"/>
  <c r="AF22" i="5" s="1"/>
  <c r="T22" i="5"/>
  <c r="Y19" i="5"/>
  <c r="P19" i="5"/>
  <c r="AE19" i="5"/>
  <c r="W19" i="5"/>
  <c r="V19" i="5"/>
  <c r="N19" i="5"/>
  <c r="AA19" i="5"/>
  <c r="AC19" i="5"/>
  <c r="U19" i="5"/>
  <c r="AB19" i="5"/>
  <c r="T19" i="5"/>
  <c r="AF19" i="5"/>
  <c r="R19" i="5"/>
  <c r="Q19" i="5"/>
  <c r="P21" i="5"/>
  <c r="AE21" i="5"/>
  <c r="W21" i="5"/>
  <c r="AA21" i="5" s="1"/>
  <c r="V21" i="5"/>
  <c r="N21" i="5"/>
  <c r="Q21" i="5" s="1"/>
  <c r="AC21" i="5"/>
  <c r="AF21" i="5" s="1"/>
  <c r="AB21" i="5"/>
  <c r="T21" i="5"/>
  <c r="R21" i="5"/>
  <c r="U21" i="5" s="1"/>
  <c r="Y21" i="5"/>
  <c r="R23" i="5"/>
  <c r="Y23" i="5"/>
  <c r="Q23" i="5"/>
  <c r="AF23" i="5"/>
  <c r="P23" i="5"/>
  <c r="AE23" i="5"/>
  <c r="W23" i="5"/>
  <c r="AA23" i="5"/>
  <c r="V23" i="5"/>
  <c r="N23" i="5"/>
  <c r="AB23" i="5"/>
  <c r="AC23" i="5"/>
  <c r="U23" i="5"/>
  <c r="T23" i="5"/>
  <c r="R18" i="5"/>
  <c r="U18" i="5" s="1"/>
  <c r="T18" i="5"/>
  <c r="AB18" i="5"/>
  <c r="P20" i="3"/>
  <c r="V20" i="3"/>
  <c r="N20" i="3"/>
  <c r="Q20" i="3" s="1"/>
  <c r="Y20" i="3"/>
  <c r="Z20" i="3" s="1"/>
  <c r="Z18" i="5" l="1"/>
  <c r="AA20" i="5"/>
  <c r="V25" i="5"/>
  <c r="Z22" i="5"/>
  <c r="Z23" i="5"/>
  <c r="Z21" i="5"/>
  <c r="AB25" i="5"/>
  <c r="Z19" i="5"/>
  <c r="X26" i="3"/>
  <c r="O26" i="3"/>
  <c r="X25" i="3"/>
  <c r="O25" i="3"/>
  <c r="X24" i="3"/>
  <c r="O24" i="3"/>
  <c r="X23" i="3"/>
  <c r="O23" i="3"/>
  <c r="X22" i="3"/>
  <c r="O22" i="3"/>
  <c r="X21" i="3"/>
  <c r="O21" i="3"/>
  <c r="X19" i="3"/>
  <c r="X18" i="3"/>
  <c r="X17" i="3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E23" i="1"/>
  <c r="AD23" i="1"/>
  <c r="AC23" i="1"/>
  <c r="AB23" i="1"/>
  <c r="Z23" i="1"/>
  <c r="Y23" i="1"/>
  <c r="X23" i="1"/>
  <c r="W23" i="1"/>
  <c r="U23" i="1"/>
  <c r="T23" i="1"/>
  <c r="S23" i="1"/>
  <c r="R23" i="1"/>
  <c r="Q23" i="1"/>
  <c r="P23" i="1"/>
  <c r="O23" i="1"/>
  <c r="N23" i="1"/>
  <c r="AE22" i="1"/>
  <c r="AD22" i="1"/>
  <c r="AC22" i="1"/>
  <c r="AB22" i="1"/>
  <c r="AA22" i="1"/>
  <c r="Y22" i="1"/>
  <c r="X22" i="1"/>
  <c r="W22" i="1"/>
  <c r="Z22" i="1" s="1"/>
  <c r="V22" i="1"/>
  <c r="U22" i="1"/>
  <c r="T22" i="1"/>
  <c r="S22" i="1"/>
  <c r="R22" i="1"/>
  <c r="P22" i="1"/>
  <c r="O22" i="1"/>
  <c r="N22" i="1"/>
  <c r="Q22" i="1" s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D19" i="1"/>
  <c r="AC19" i="1"/>
  <c r="AB19" i="1"/>
  <c r="AE19" i="1" s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E17" i="1"/>
  <c r="AD17" i="1"/>
  <c r="AC17" i="1"/>
  <c r="AB17" i="1"/>
  <c r="AA17" i="1"/>
  <c r="AA27" i="1" s="1"/>
  <c r="Y17" i="1"/>
  <c r="X17" i="1"/>
  <c r="W17" i="1"/>
  <c r="Z17" i="1" s="1"/>
  <c r="V17" i="1"/>
  <c r="V27" i="1" s="1"/>
  <c r="U17" i="1"/>
  <c r="T17" i="1"/>
  <c r="S17" i="1"/>
  <c r="R17" i="1"/>
  <c r="Q17" i="1"/>
  <c r="P17" i="1"/>
  <c r="O17" i="1"/>
  <c r="N17" i="1"/>
  <c r="AD18" i="2"/>
  <c r="AD19" i="2"/>
  <c r="AD20" i="2"/>
  <c r="AD21" i="2"/>
  <c r="AD22" i="2"/>
  <c r="AD23" i="2"/>
  <c r="AD24" i="2"/>
  <c r="AD25" i="2"/>
  <c r="AD17" i="2"/>
  <c r="Y18" i="2"/>
  <c r="Y19" i="2"/>
  <c r="Y20" i="2"/>
  <c r="Y21" i="2"/>
  <c r="Y22" i="2"/>
  <c r="Y23" i="2"/>
  <c r="Y24" i="2"/>
  <c r="Y25" i="2"/>
  <c r="Y17" i="2"/>
  <c r="T18" i="2"/>
  <c r="T19" i="2"/>
  <c r="T20" i="2"/>
  <c r="T21" i="2"/>
  <c r="T22" i="2"/>
  <c r="T23" i="2"/>
  <c r="T24" i="2"/>
  <c r="T25" i="2"/>
  <c r="T17" i="2"/>
  <c r="P17" i="2"/>
  <c r="P18" i="2"/>
  <c r="P19" i="2"/>
  <c r="P20" i="2"/>
  <c r="P21" i="2"/>
  <c r="P22" i="2"/>
  <c r="P23" i="2"/>
  <c r="P24" i="2"/>
  <c r="P25" i="2"/>
  <c r="L26" i="3"/>
  <c r="K26" i="3"/>
  <c r="L25" i="3"/>
  <c r="K25" i="3"/>
  <c r="L24" i="3"/>
  <c r="K24" i="3"/>
  <c r="L23" i="3"/>
  <c r="M23" i="3" s="1"/>
  <c r="K23" i="3"/>
  <c r="L22" i="3"/>
  <c r="K22" i="3"/>
  <c r="L21" i="3"/>
  <c r="K21" i="3"/>
  <c r="L19" i="3"/>
  <c r="K19" i="3"/>
  <c r="L18" i="3"/>
  <c r="K18" i="3"/>
  <c r="AC17" i="3"/>
  <c r="AF17" i="3" s="1"/>
  <c r="M19" i="3" l="1"/>
  <c r="V19" i="3" s="1"/>
  <c r="M21" i="3"/>
  <c r="Q21" i="3" s="1"/>
  <c r="M22" i="3"/>
  <c r="T22" i="3" s="1"/>
  <c r="M26" i="3"/>
  <c r="R26" i="3" s="1"/>
  <c r="M24" i="3"/>
  <c r="Y24" i="3" s="1"/>
  <c r="M25" i="3"/>
  <c r="T25" i="3" s="1"/>
  <c r="M18" i="3"/>
  <c r="N18" i="3" s="1"/>
  <c r="AB19" i="3"/>
  <c r="P17" i="3"/>
  <c r="AC19" i="3"/>
  <c r="AF19" i="3" s="1"/>
  <c r="AA21" i="3"/>
  <c r="T19" i="3"/>
  <c r="T17" i="3"/>
  <c r="V17" i="3"/>
  <c r="Y17" i="3"/>
  <c r="AE17" i="3"/>
  <c r="P23" i="3"/>
  <c r="Y23" i="3"/>
  <c r="R23" i="3"/>
  <c r="U23" i="3" s="1"/>
  <c r="N17" i="3"/>
  <c r="Q17" i="3" s="1"/>
  <c r="W17" i="3"/>
  <c r="AE19" i="3"/>
  <c r="T21" i="3"/>
  <c r="AC23" i="3"/>
  <c r="AF23" i="3" s="1"/>
  <c r="AB23" i="3"/>
  <c r="N19" i="3"/>
  <c r="Q19" i="3" s="1"/>
  <c r="W19" i="3"/>
  <c r="T23" i="3"/>
  <c r="V21" i="3"/>
  <c r="AE21" i="3"/>
  <c r="AE22" i="3"/>
  <c r="V23" i="3"/>
  <c r="AE23" i="3"/>
  <c r="R17" i="3"/>
  <c r="U17" i="3" s="1"/>
  <c r="AB17" i="3"/>
  <c r="P19" i="3"/>
  <c r="Y19" i="3"/>
  <c r="W21" i="3"/>
  <c r="AF21" i="3"/>
  <c r="V22" i="3"/>
  <c r="N23" i="3"/>
  <c r="Q23" i="3" s="1"/>
  <c r="W23" i="3"/>
  <c r="V18" i="3"/>
  <c r="T24" i="3" l="1"/>
  <c r="W24" i="3"/>
  <c r="AE24" i="3"/>
  <c r="P24" i="3"/>
  <c r="AA25" i="3"/>
  <c r="Q18" i="3"/>
  <c r="N25" i="3"/>
  <c r="R24" i="3"/>
  <c r="U24" i="3" s="1"/>
  <c r="U18" i="3"/>
  <c r="V25" i="3"/>
  <c r="AF18" i="3"/>
  <c r="R21" i="3"/>
  <c r="R25" i="3"/>
  <c r="Q25" i="3"/>
  <c r="N24" i="3"/>
  <c r="Q24" i="3" s="1"/>
  <c r="AC24" i="3"/>
  <c r="AF24" i="3" s="1"/>
  <c r="Z23" i="3"/>
  <c r="AE25" i="3"/>
  <c r="U25" i="3"/>
  <c r="P26" i="3"/>
  <c r="Y22" i="3"/>
  <c r="R22" i="3"/>
  <c r="U22" i="3" s="1"/>
  <c r="AF26" i="3"/>
  <c r="AE26" i="3"/>
  <c r="V26" i="3"/>
  <c r="W18" i="3"/>
  <c r="AB18" i="3"/>
  <c r="W22" i="3"/>
  <c r="AA22" i="3" s="1"/>
  <c r="AE18" i="3"/>
  <c r="Y26" i="3"/>
  <c r="AB26" i="3"/>
  <c r="P22" i="3"/>
  <c r="AB25" i="3"/>
  <c r="AC18" i="3"/>
  <c r="Y21" i="3"/>
  <c r="Z21" i="3" s="1"/>
  <c r="Y25" i="3"/>
  <c r="P21" i="3"/>
  <c r="Q26" i="3"/>
  <c r="U26" i="3"/>
  <c r="W25" i="3"/>
  <c r="AC26" i="3"/>
  <c r="U21" i="3"/>
  <c r="AC22" i="3"/>
  <c r="AF22" i="3" s="1"/>
  <c r="W26" i="3"/>
  <c r="Z26" i="3" s="1"/>
  <c r="AA26" i="3"/>
  <c r="AB22" i="3"/>
  <c r="N22" i="3"/>
  <c r="Q22" i="3" s="1"/>
  <c r="N26" i="3"/>
  <c r="AB21" i="3"/>
  <c r="P25" i="3"/>
  <c r="AF25" i="3"/>
  <c r="N21" i="3"/>
  <c r="AC25" i="3"/>
  <c r="Y18" i="3"/>
  <c r="AA18" i="3"/>
  <c r="P18" i="3"/>
  <c r="R18" i="3"/>
  <c r="T26" i="3"/>
  <c r="AC21" i="3"/>
  <c r="T18" i="3"/>
  <c r="R19" i="3"/>
  <c r="U19" i="3" s="1"/>
  <c r="AA23" i="3"/>
  <c r="AA19" i="3"/>
  <c r="Z19" i="3"/>
  <c r="Z17" i="3"/>
  <c r="AA24" i="3"/>
  <c r="Z24" i="3"/>
  <c r="AA17" i="3"/>
  <c r="AC25" i="2"/>
  <c r="X25" i="2"/>
  <c r="S25" i="2"/>
  <c r="O25" i="2"/>
  <c r="L25" i="2"/>
  <c r="M25" i="2" s="1"/>
  <c r="K25" i="2"/>
  <c r="AE24" i="2"/>
  <c r="AC24" i="2"/>
  <c r="Z24" i="2"/>
  <c r="X24" i="2"/>
  <c r="W24" i="2"/>
  <c r="S24" i="2"/>
  <c r="R24" i="2"/>
  <c r="Q24" i="2"/>
  <c r="O24" i="2"/>
  <c r="M24" i="2"/>
  <c r="L24" i="2"/>
  <c r="K24" i="2"/>
  <c r="AC23" i="2"/>
  <c r="X23" i="2"/>
  <c r="S23" i="2"/>
  <c r="O23" i="2"/>
  <c r="L23" i="2"/>
  <c r="M23" i="2" s="1"/>
  <c r="K23" i="2"/>
  <c r="AC22" i="2"/>
  <c r="X22" i="2"/>
  <c r="W22" i="2"/>
  <c r="Z22" i="2" s="1"/>
  <c r="S22" i="2"/>
  <c r="R22" i="2"/>
  <c r="O22" i="2"/>
  <c r="M22" i="2"/>
  <c r="L22" i="2"/>
  <c r="K22" i="2"/>
  <c r="AC21" i="2"/>
  <c r="X21" i="2"/>
  <c r="S21" i="2"/>
  <c r="O21" i="2"/>
  <c r="L21" i="2"/>
  <c r="M21" i="2" s="1"/>
  <c r="K21" i="2"/>
  <c r="AC20" i="2"/>
  <c r="X20" i="2"/>
  <c r="S20" i="2"/>
  <c r="O20" i="2"/>
  <c r="L20" i="2"/>
  <c r="M20" i="2" s="1"/>
  <c r="K20" i="2"/>
  <c r="AC19" i="2"/>
  <c r="X19" i="2"/>
  <c r="V19" i="2"/>
  <c r="S19" i="2"/>
  <c r="O19" i="2"/>
  <c r="N19" i="2"/>
  <c r="M19" i="2"/>
  <c r="L19" i="2"/>
  <c r="K19" i="2"/>
  <c r="AC18" i="2"/>
  <c r="AA18" i="2"/>
  <c r="X18" i="2"/>
  <c r="S18" i="2"/>
  <c r="O18" i="2"/>
  <c r="M18" i="2"/>
  <c r="Z18" i="2" s="1"/>
  <c r="L18" i="2"/>
  <c r="K18" i="2"/>
  <c r="AC17" i="2"/>
  <c r="AA17" i="2"/>
  <c r="X17" i="2"/>
  <c r="W17" i="2"/>
  <c r="Z17" i="2" s="1"/>
  <c r="V17" i="2"/>
  <c r="S17" i="2"/>
  <c r="R17" i="2"/>
  <c r="O17" i="2"/>
  <c r="N17" i="2"/>
  <c r="M17" i="2"/>
  <c r="L17" i="2"/>
  <c r="K17" i="2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17" i="1"/>
  <c r="M17" i="1" s="1"/>
  <c r="K18" i="1"/>
  <c r="K19" i="1"/>
  <c r="K20" i="1"/>
  <c r="K21" i="1"/>
  <c r="K22" i="1"/>
  <c r="K23" i="1"/>
  <c r="K24" i="1"/>
  <c r="K25" i="1"/>
  <c r="K17" i="1"/>
  <c r="Z18" i="3" l="1"/>
  <c r="V28" i="3"/>
  <c r="AB28" i="3"/>
  <c r="Z25" i="3"/>
  <c r="Z22" i="3"/>
  <c r="AA21" i="2"/>
  <c r="Z21" i="2"/>
  <c r="R21" i="2"/>
  <c r="V21" i="2"/>
  <c r="V27" i="2" s="1"/>
  <c r="Q21" i="2"/>
  <c r="AE21" i="2"/>
  <c r="W21" i="2"/>
  <c r="N21" i="2"/>
  <c r="U21" i="2"/>
  <c r="AB21" i="2"/>
  <c r="W23" i="2"/>
  <c r="Z23" i="2" s="1"/>
  <c r="N23" i="2"/>
  <c r="Q23" i="2" s="1"/>
  <c r="AB23" i="2"/>
  <c r="AE23" i="2" s="1"/>
  <c r="R23" i="2"/>
  <c r="U23" i="2" s="1"/>
  <c r="AE20" i="2"/>
  <c r="W20" i="2"/>
  <c r="AA20" i="2"/>
  <c r="V20" i="2"/>
  <c r="N20" i="2"/>
  <c r="U20" i="2"/>
  <c r="Q20" i="2"/>
  <c r="AB20" i="2"/>
  <c r="Z20" i="2"/>
  <c r="R20" i="2"/>
  <c r="Q25" i="2"/>
  <c r="AE25" i="2"/>
  <c r="W25" i="2"/>
  <c r="V25" i="2"/>
  <c r="N25" i="2"/>
  <c r="AB25" i="2"/>
  <c r="U25" i="2"/>
  <c r="AA25" i="2"/>
  <c r="Z25" i="2"/>
  <c r="R25" i="2"/>
  <c r="Q17" i="2"/>
  <c r="AB18" i="2"/>
  <c r="W19" i="2"/>
  <c r="Z19" i="2" s="1"/>
  <c r="N18" i="2"/>
  <c r="Q19" i="2"/>
  <c r="V18" i="2"/>
  <c r="AB17" i="2"/>
  <c r="AE17" i="2" s="1"/>
  <c r="W18" i="2"/>
  <c r="AE18" i="2"/>
  <c r="R19" i="2"/>
  <c r="U19" i="2" s="1"/>
  <c r="AA22" i="2"/>
  <c r="AA24" i="2"/>
  <c r="U17" i="2"/>
  <c r="AA19" i="2"/>
  <c r="AA27" i="2" s="1"/>
  <c r="AB22" i="2"/>
  <c r="AE22" i="2" s="1"/>
  <c r="AB24" i="2"/>
  <c r="U18" i="2"/>
  <c r="Q18" i="2"/>
  <c r="AB19" i="2"/>
  <c r="AE19" i="2" s="1"/>
  <c r="U22" i="2"/>
  <c r="U24" i="2"/>
  <c r="R18" i="2"/>
  <c r="N22" i="2"/>
  <c r="Q22" i="2" s="1"/>
  <c r="V22" i="2"/>
  <c r="N24" i="2"/>
  <c r="V24" i="2"/>
</calcChain>
</file>

<file path=xl/sharedStrings.xml><?xml version="1.0" encoding="utf-8"?>
<sst xmlns="http://schemas.openxmlformats.org/spreadsheetml/2006/main" count="1435" uniqueCount="138">
  <si>
    <t>Car data</t>
  </si>
  <si>
    <t>Wheelbase</t>
  </si>
  <si>
    <t>Front track</t>
  </si>
  <si>
    <t>Rear track</t>
  </si>
  <si>
    <t>Drag height</t>
  </si>
  <si>
    <t>SCz</t>
  </si>
  <si>
    <t>SCx</t>
  </si>
  <si>
    <t>Rear tyre radius</t>
  </si>
  <si>
    <t>Front tyre radius</t>
  </si>
  <si>
    <t>m</t>
  </si>
  <si>
    <t>kg</t>
  </si>
  <si>
    <t>m2</t>
  </si>
  <si>
    <t>Car mass</t>
  </si>
  <si>
    <t>Set-up</t>
  </si>
  <si>
    <t>Weight distribution</t>
  </si>
  <si>
    <t>Brake balance</t>
  </si>
  <si>
    <t>Aero balance</t>
  </si>
  <si>
    <t>Min</t>
  </si>
  <si>
    <t>Max</t>
  </si>
  <si>
    <t>Air density</t>
  </si>
  <si>
    <t>kg/m3</t>
  </si>
  <si>
    <t>CoG ground height</t>
  </si>
  <si>
    <t>Load case</t>
  </si>
  <si>
    <t>Brake</t>
  </si>
  <si>
    <t>Bump</t>
  </si>
  <si>
    <t>Brake + Bump</t>
  </si>
  <si>
    <t>Lateral + Bump</t>
  </si>
  <si>
    <t>Lateral</t>
  </si>
  <si>
    <t>Lateral + Brake</t>
  </si>
  <si>
    <t>Reverse brake + Bump</t>
  </si>
  <si>
    <t>Acceleration</t>
  </si>
  <si>
    <t>Acceleration + Bump</t>
  </si>
  <si>
    <t>a_x</t>
  </si>
  <si>
    <t>a_y</t>
  </si>
  <si>
    <t>a_z</t>
  </si>
  <si>
    <t>Fy bal F</t>
  </si>
  <si>
    <t>Fy bal R</t>
  </si>
  <si>
    <t>Downforce</t>
  </si>
  <si>
    <t>Drag</t>
  </si>
  <si>
    <t>accx-drag</t>
  </si>
  <si>
    <t>Speed</t>
  </si>
  <si>
    <t>Fuel</t>
  </si>
  <si>
    <t>Fx</t>
  </si>
  <si>
    <t>Fy</t>
  </si>
  <si>
    <t>Fz</t>
  </si>
  <si>
    <t>M brake</t>
  </si>
  <si>
    <t>Front Outer</t>
  </si>
  <si>
    <t>Front Inner</t>
  </si>
  <si>
    <t>* Works only for a RWD car</t>
  </si>
  <si>
    <t>* X positive opposite to car driving direction</t>
  </si>
  <si>
    <t>Roll balance</t>
  </si>
  <si>
    <t>Rear Outer</t>
  </si>
  <si>
    <t>Rear Inner</t>
  </si>
  <si>
    <t>Fx_hub</t>
  </si>
  <si>
    <t>M driveshaft</t>
  </si>
  <si>
    <t>Nm</t>
  </si>
  <si>
    <t>Lateral 2021 (Indianapolis)</t>
  </si>
  <si>
    <t>Brake + Bump + Lateral 2021</t>
  </si>
  <si>
    <t>Fres</t>
  </si>
  <si>
    <t>One side bump 2021</t>
  </si>
  <si>
    <t>Bump (Design, for ref.)</t>
  </si>
  <si>
    <t>Lateral (Design, for ref.)</t>
  </si>
  <si>
    <t>LHS on Matlab</t>
  </si>
  <si>
    <t>RHS on Matlab</t>
  </si>
  <si>
    <t>Lateral 2021 (Le Mans)</t>
  </si>
  <si>
    <t>Bump (Design, for ref., keep)</t>
  </si>
  <si>
    <t>Brake (Monza &amp; Le Mans)</t>
  </si>
  <si>
    <r>
      <t>Brake + Bump + Lateral 2021 (Portim</t>
    </r>
    <r>
      <rPr>
        <sz val="11"/>
        <color theme="1"/>
        <rFont val="Calibri"/>
        <family val="2"/>
      </rPr>
      <t>ã</t>
    </r>
    <r>
      <rPr>
        <sz val="9.35"/>
        <color theme="1"/>
        <rFont val="Calibri"/>
        <family val="2"/>
      </rPr>
      <t>o)</t>
    </r>
  </si>
  <si>
    <t>Lateral + Brake 2021  (Portimão)</t>
  </si>
  <si>
    <t>Acceleration + Bump 2021 (Monza)</t>
  </si>
  <si>
    <t>Date</t>
  </si>
  <si>
    <t>13/5/2020</t>
  </si>
  <si>
    <t>Notes</t>
  </si>
  <si>
    <t>Forces from FEA (Matlab Truss Model), Front Suspension V07, CPL V04 Balanced</t>
  </si>
  <si>
    <t>Reaction forces from FEA</t>
  </si>
  <si>
    <t>Coord</t>
  </si>
  <si>
    <t>Lateral (Outer)</t>
  </si>
  <si>
    <t>Lateral (Inner)</t>
  </si>
  <si>
    <t>Lateral + Brake (Outer)</t>
  </si>
  <si>
    <t>Lateral + Brake (Inner)</t>
  </si>
  <si>
    <t>LCA</t>
  </si>
  <si>
    <t>Front</t>
  </si>
  <si>
    <t>X</t>
  </si>
  <si>
    <t>Y</t>
  </si>
  <si>
    <t>Z</t>
  </si>
  <si>
    <t>Rear</t>
  </si>
  <si>
    <t>Outer</t>
  </si>
  <si>
    <t>SUM CALCULATED IN EXCEL</t>
  </si>
  <si>
    <t>UCA</t>
  </si>
  <si>
    <t>TROD</t>
  </si>
  <si>
    <t>Inner</t>
  </si>
  <si>
    <t>Pushrod</t>
  </si>
  <si>
    <t>Upper</t>
  </si>
  <si>
    <t>Sum check (upright)</t>
  </si>
  <si>
    <t>Sign of Fy applied to magnitude, Negative -&gt; Compression of the link, Positive -&gt; Tension of the link (had to reverse tierod sign)</t>
  </si>
  <si>
    <t>Link Loads</t>
  </si>
  <si>
    <t xml:space="preserve">Front </t>
  </si>
  <si>
    <t>Mag</t>
  </si>
  <si>
    <t>Blue, maximum tension</t>
  </si>
  <si>
    <t xml:space="preserve">Rear </t>
  </si>
  <si>
    <t>Red, maximum compression</t>
  </si>
  <si>
    <t xml:space="preserve">Outer </t>
  </si>
  <si>
    <t>Lower</t>
  </si>
  <si>
    <t>Outer ball joint loads</t>
  </si>
  <si>
    <t>Force direction matching link direction - Checks</t>
  </si>
  <si>
    <t>CHECKS</t>
  </si>
  <si>
    <t>front link</t>
  </si>
  <si>
    <t>u</t>
  </si>
  <si>
    <t>v</t>
  </si>
  <si>
    <t>w</t>
  </si>
  <si>
    <t>check 1</t>
  </si>
  <si>
    <t>rear link</t>
  </si>
  <si>
    <t>outer x</t>
  </si>
  <si>
    <t>y</t>
  </si>
  <si>
    <t>z</t>
  </si>
  <si>
    <t>lower x</t>
  </si>
  <si>
    <t>13/05/2020</t>
  </si>
  <si>
    <t>Forces from FEA (Matlab Truss Model), Rear Suspension Mick V05mod (rocker points proposal), CPL V04 Balanced</t>
  </si>
  <si>
    <t>Outer ball joints loads</t>
  </si>
  <si>
    <t>Real data</t>
  </si>
  <si>
    <t>Brake + Bump + Lateral (Outer)</t>
  </si>
  <si>
    <t>Brake + Bump + Lateral (Inner)</t>
  </si>
  <si>
    <t>ORIGINAL FRONT</t>
  </si>
  <si>
    <t>ORIGINAL REAR</t>
  </si>
  <si>
    <t>2021 FRONT Real Data</t>
  </si>
  <si>
    <t>2021 REAR Real Data</t>
  </si>
  <si>
    <t>2021 FRONT Canopy</t>
  </si>
  <si>
    <t>2021 REAR Canopy</t>
  </si>
  <si>
    <t>SX</t>
  </si>
  <si>
    <t>DX</t>
  </si>
  <si>
    <t>Un po' FASULLA</t>
  </si>
  <si>
    <t>Front Canopy vs 2020</t>
  </si>
  <si>
    <t>Rear Canopy vs 2020</t>
  </si>
  <si>
    <t>Front Canopy vs 2021</t>
  </si>
  <si>
    <t>Rear Canopy 2021</t>
  </si>
  <si>
    <t>Front 2021 vs 2020</t>
  </si>
  <si>
    <t>Rear 2021 vs 2020</t>
  </si>
  <si>
    <t>Total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</si>
</sst>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b/>
      <sz val="12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4472C4"/>
      <name val="Calibri"/>
      <family val="2"/>
    </font>
    <font>
      <b/>
      <sz val="11"/>
      <color rgb="FFFFFFFF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F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8" fillId="8" borderId="15" applyNumberFormat="0" applyAlignment="0" applyProtection="0"/>
    <xf numFmtId="0" fontId="6" fillId="9" borderId="16" applyNumberFormat="0" applyFont="0" applyAlignment="0" applyProtection="0"/>
  </cellStyleXfs>
  <cellXfs count="27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" fontId="0" fillId="0" borderId="0" xfId="0" applyNumberFormat="1"/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" fontId="0" fillId="0" borderId="7" xfId="0" applyNumberFormat="1" applyBorder="1"/>
    <xf numFmtId="0" fontId="0" fillId="0" borderId="4" xfId="0" applyBorder="1"/>
    <xf numFmtId="0" fontId="1" fillId="0" borderId="2" xfId="0" applyFont="1" applyBorder="1"/>
    <xf numFmtId="0" fontId="0" fillId="4" borderId="0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0" fillId="5" borderId="10" xfId="0" applyFill="1" applyBorder="1"/>
    <xf numFmtId="164" fontId="0" fillId="5" borderId="5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0" fontId="0" fillId="5" borderId="0" xfId="0" applyFill="1"/>
    <xf numFmtId="0" fontId="0" fillId="6" borderId="10" xfId="0" applyFill="1" applyBorder="1"/>
    <xf numFmtId="164" fontId="0" fillId="6" borderId="5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2" fontId="0" fillId="6" borderId="6" xfId="0" applyNumberFormat="1" applyFill="1" applyBorder="1" applyAlignment="1">
      <alignment horizontal="center"/>
    </xf>
    <xf numFmtId="1" fontId="0" fillId="6" borderId="6" xfId="0" applyNumberFormat="1" applyFill="1" applyBorder="1" applyAlignment="1">
      <alignment horizontal="center"/>
    </xf>
    <xf numFmtId="0" fontId="0" fillId="6" borderId="0" xfId="0" applyFill="1"/>
    <xf numFmtId="0" fontId="0" fillId="3" borderId="10" xfId="0" applyFill="1" applyBorder="1"/>
    <xf numFmtId="164" fontId="0" fillId="3" borderId="5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0" fontId="0" fillId="3" borderId="0" xfId="0" applyFill="1"/>
    <xf numFmtId="0" fontId="1" fillId="0" borderId="5" xfId="0" applyFont="1" applyBorder="1"/>
    <xf numFmtId="0" fontId="2" fillId="0" borderId="0" xfId="0" applyFont="1"/>
    <xf numFmtId="0" fontId="3" fillId="7" borderId="8" xfId="0" applyFont="1" applyFill="1" applyBorder="1" applyAlignment="1">
      <alignment horizontal="center"/>
    </xf>
    <xf numFmtId="1" fontId="3" fillId="7" borderId="0" xfId="0" applyNumberFormat="1" applyFont="1" applyFill="1" applyBorder="1" applyAlignment="1">
      <alignment horizontal="center"/>
    </xf>
    <xf numFmtId="1" fontId="3" fillId="7" borderId="8" xfId="0" applyNumberFormat="1" applyFont="1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1" fontId="0" fillId="7" borderId="6" xfId="0" applyNumberFormat="1" applyFill="1" applyBorder="1" applyAlignment="1">
      <alignment horizontal="center"/>
    </xf>
    <xf numFmtId="1" fontId="0" fillId="7" borderId="5" xfId="0" applyNumberFormat="1" applyFill="1" applyBorder="1" applyAlignment="1">
      <alignment horizontal="center"/>
    </xf>
    <xf numFmtId="0" fontId="4" fillId="0" borderId="13" xfId="0" applyFont="1" applyBorder="1"/>
    <xf numFmtId="0" fontId="5" fillId="0" borderId="0" xfId="0" applyFont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7" fillId="9" borderId="17" xfId="3" applyNumberFormat="1" applyFont="1" applyBorder="1" applyAlignment="1">
      <alignment horizontal="center"/>
    </xf>
    <xf numFmtId="164" fontId="7" fillId="9" borderId="16" xfId="3" applyNumberFormat="1" applyFont="1" applyBorder="1" applyAlignment="1">
      <alignment horizontal="center"/>
    </xf>
    <xf numFmtId="164" fontId="7" fillId="9" borderId="18" xfId="3" applyNumberFormat="1" applyFont="1" applyBorder="1" applyAlignment="1">
      <alignment horizontal="center"/>
    </xf>
    <xf numFmtId="164" fontId="7" fillId="9" borderId="19" xfId="3" applyNumberFormat="1" applyFont="1" applyBorder="1" applyAlignment="1">
      <alignment horizontal="center"/>
    </xf>
    <xf numFmtId="0" fontId="0" fillId="0" borderId="20" xfId="0" applyBorder="1"/>
    <xf numFmtId="0" fontId="0" fillId="0" borderId="0" xfId="0" applyFill="1"/>
    <xf numFmtId="164" fontId="8" fillId="8" borderId="21" xfId="2" applyNumberFormat="1" applyBorder="1" applyAlignment="1">
      <alignment horizontal="center"/>
    </xf>
    <xf numFmtId="164" fontId="8" fillId="8" borderId="15" xfId="2" applyNumberFormat="1" applyBorder="1" applyAlignment="1">
      <alignment horizontal="center"/>
    </xf>
    <xf numFmtId="164" fontId="8" fillId="8" borderId="22" xfId="2" applyNumberFormat="1" applyBorder="1" applyAlignment="1">
      <alignment horizontal="center"/>
    </xf>
    <xf numFmtId="164" fontId="7" fillId="9" borderId="23" xfId="3" applyNumberFormat="1" applyFont="1" applyBorder="1" applyAlignment="1">
      <alignment horizontal="center"/>
    </xf>
    <xf numFmtId="164" fontId="8" fillId="8" borderId="24" xfId="2" applyNumberFormat="1" applyBorder="1" applyAlignment="1">
      <alignment horizontal="center"/>
    </xf>
    <xf numFmtId="164" fontId="8" fillId="8" borderId="25" xfId="2" applyNumberFormat="1" applyBorder="1" applyAlignment="1">
      <alignment horizontal="center"/>
    </xf>
    <xf numFmtId="164" fontId="8" fillId="8" borderId="26" xfId="2" applyNumberFormat="1" applyBorder="1" applyAlignment="1">
      <alignment horizontal="center"/>
    </xf>
    <xf numFmtId="0" fontId="0" fillId="10" borderId="10" xfId="0" applyFill="1" applyBorder="1"/>
    <xf numFmtId="0" fontId="0" fillId="11" borderId="10" xfId="0" applyFill="1" applyBorder="1"/>
    <xf numFmtId="0" fontId="0" fillId="12" borderId="10" xfId="0" applyFill="1" applyBorder="1"/>
    <xf numFmtId="0" fontId="1" fillId="0" borderId="0" xfId="0" applyFont="1"/>
    <xf numFmtId="14" fontId="1" fillId="0" borderId="0" xfId="0" applyNumberFormat="1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" fillId="0" borderId="3" xfId="0" applyFont="1" applyBorder="1"/>
    <xf numFmtId="0" fontId="1" fillId="3" borderId="3" xfId="0" applyFont="1" applyFill="1" applyBorder="1"/>
    <xf numFmtId="1" fontId="0" fillId="0" borderId="28" xfId="0" applyNumberFormat="1" applyBorder="1"/>
    <xf numFmtId="0" fontId="0" fillId="0" borderId="3" xfId="0" applyBorder="1"/>
    <xf numFmtId="0" fontId="4" fillId="0" borderId="0" xfId="0" applyFont="1"/>
    <xf numFmtId="0" fontId="1" fillId="3" borderId="0" xfId="0" applyFont="1" applyFill="1"/>
    <xf numFmtId="1" fontId="0" fillId="0" borderId="27" xfId="0" applyNumberFormat="1" applyBorder="1"/>
    <xf numFmtId="0" fontId="1" fillId="0" borderId="7" xfId="0" applyFont="1" applyBorder="1"/>
    <xf numFmtId="0" fontId="1" fillId="0" borderId="8" xfId="0" applyFont="1" applyBorder="1"/>
    <xf numFmtId="0" fontId="1" fillId="3" borderId="8" xfId="0" applyFont="1" applyFill="1" applyBorder="1"/>
    <xf numFmtId="1" fontId="0" fillId="0" borderId="29" xfId="0" applyNumberFormat="1" applyBorder="1"/>
    <xf numFmtId="1" fontId="15" fillId="13" borderId="28" xfId="0" applyNumberFormat="1" applyFont="1" applyFill="1" applyBorder="1"/>
    <xf numFmtId="0" fontId="16" fillId="13" borderId="0" xfId="0" applyFont="1" applyFill="1"/>
    <xf numFmtId="0" fontId="17" fillId="0" borderId="0" xfId="0" applyFont="1"/>
    <xf numFmtId="0" fontId="10" fillId="0" borderId="0" xfId="0" applyFont="1"/>
    <xf numFmtId="0" fontId="13" fillId="0" borderId="8" xfId="0" applyFont="1" applyBorder="1" applyAlignment="1">
      <alignment horizontal="center"/>
    </xf>
    <xf numFmtId="1" fontId="0" fillId="0" borderId="3" xfId="0" applyNumberFormat="1" applyBorder="1"/>
    <xf numFmtId="1" fontId="0" fillId="0" borderId="4" xfId="0" applyNumberFormat="1" applyBorder="1"/>
    <xf numFmtId="0" fontId="9" fillId="14" borderId="0" xfId="0" applyFont="1" applyFill="1"/>
    <xf numFmtId="1" fontId="0" fillId="0" borderId="6" xfId="0" applyNumberFormat="1" applyBorder="1"/>
    <xf numFmtId="0" fontId="9" fillId="15" borderId="0" xfId="0" applyFont="1" applyFill="1"/>
    <xf numFmtId="1" fontId="0" fillId="0" borderId="8" xfId="0" applyNumberFormat="1" applyBorder="1"/>
    <xf numFmtId="1" fontId="0" fillId="0" borderId="9" xfId="0" applyNumberFormat="1" applyBorder="1"/>
    <xf numFmtId="165" fontId="0" fillId="0" borderId="0" xfId="0" applyNumberFormat="1"/>
    <xf numFmtId="0" fontId="0" fillId="0" borderId="0" xfId="0" applyFill="1" applyBorder="1"/>
    <xf numFmtId="0" fontId="1" fillId="4" borderId="0" xfId="0" applyFont="1" applyFill="1" applyBorder="1"/>
    <xf numFmtId="0" fontId="0" fillId="10" borderId="0" xfId="0" applyFill="1" applyBorder="1" applyAlignment="1">
      <alignment horizontal="center"/>
    </xf>
    <xf numFmtId="1" fontId="0" fillId="10" borderId="0" xfId="0" applyNumberFormat="1" applyFill="1" applyBorder="1" applyAlignment="1">
      <alignment horizontal="center"/>
    </xf>
    <xf numFmtId="2" fontId="0" fillId="10" borderId="0" xfId="0" applyNumberForma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1" fontId="0" fillId="10" borderId="6" xfId="0" applyNumberFormat="1" applyFill="1" applyBorder="1" applyAlignment="1">
      <alignment horizontal="center"/>
    </xf>
    <xf numFmtId="1" fontId="3" fillId="10" borderId="0" xfId="0" applyNumberFormat="1" applyFont="1" applyFill="1" applyBorder="1" applyAlignment="1">
      <alignment horizontal="center"/>
    </xf>
    <xf numFmtId="0" fontId="0" fillId="10" borderId="0" xfId="0" applyFill="1"/>
    <xf numFmtId="0" fontId="0" fillId="11" borderId="0" xfId="0" applyFill="1" applyBorder="1" applyAlignment="1">
      <alignment horizontal="center"/>
    </xf>
    <xf numFmtId="1" fontId="0" fillId="11" borderId="0" xfId="0" applyNumberFormat="1" applyFill="1" applyBorder="1" applyAlignment="1">
      <alignment horizontal="center"/>
    </xf>
    <xf numFmtId="2" fontId="0" fillId="11" borderId="0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" fontId="0" fillId="11" borderId="5" xfId="0" applyNumberFormat="1" applyFill="1" applyBorder="1" applyAlignment="1">
      <alignment horizontal="center"/>
    </xf>
    <xf numFmtId="2" fontId="0" fillId="11" borderId="6" xfId="0" applyNumberFormat="1" applyFill="1" applyBorder="1" applyAlignment="1">
      <alignment horizontal="center"/>
    </xf>
    <xf numFmtId="1" fontId="0" fillId="11" borderId="6" xfId="0" applyNumberFormat="1" applyFill="1" applyBorder="1" applyAlignment="1">
      <alignment horizontal="center"/>
    </xf>
    <xf numFmtId="1" fontId="3" fillId="11" borderId="0" xfId="0" applyNumberFormat="1" applyFont="1" applyFill="1" applyBorder="1" applyAlignment="1">
      <alignment horizontal="center"/>
    </xf>
    <xf numFmtId="0" fontId="0" fillId="11" borderId="0" xfId="0" applyFill="1"/>
    <xf numFmtId="0" fontId="0" fillId="12" borderId="0" xfId="0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2" fontId="0" fillId="12" borderId="0" xfId="0" applyNumberFormat="1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1" fontId="0" fillId="12" borderId="5" xfId="0" applyNumberFormat="1" applyFill="1" applyBorder="1" applyAlignment="1">
      <alignment horizontal="center"/>
    </xf>
    <xf numFmtId="2" fontId="0" fillId="12" borderId="6" xfId="0" applyNumberFormat="1" applyFill="1" applyBorder="1" applyAlignment="1">
      <alignment horizontal="center"/>
    </xf>
    <xf numFmtId="1" fontId="0" fillId="12" borderId="6" xfId="0" applyNumberFormat="1" applyFill="1" applyBorder="1" applyAlignment="1">
      <alignment horizontal="center"/>
    </xf>
    <xf numFmtId="1" fontId="3" fillId="12" borderId="0" xfId="0" applyNumberFormat="1" applyFont="1" applyFill="1" applyBorder="1" applyAlignment="1">
      <alignment horizontal="center"/>
    </xf>
    <xf numFmtId="0" fontId="0" fillId="12" borderId="0" xfId="0" applyFill="1"/>
    <xf numFmtId="0" fontId="1" fillId="0" borderId="0" xfId="0" applyFont="1" applyBorder="1"/>
    <xf numFmtId="0" fontId="18" fillId="0" borderId="2" xfId="0" applyFont="1" applyBorder="1"/>
    <xf numFmtId="0" fontId="18" fillId="0" borderId="3" xfId="0" applyFont="1" applyBorder="1"/>
    <xf numFmtId="1" fontId="11" fillId="0" borderId="28" xfId="0" applyNumberFormat="1" applyFont="1" applyBorder="1"/>
    <xf numFmtId="0" fontId="18" fillId="0" borderId="5" xfId="0" applyFont="1" applyBorder="1"/>
    <xf numFmtId="0" fontId="18" fillId="0" borderId="0" xfId="0" applyFont="1"/>
    <xf numFmtId="1" fontId="11" fillId="0" borderId="27" xfId="0" applyNumberFormat="1" applyFont="1" applyBorder="1"/>
    <xf numFmtId="0" fontId="11" fillId="0" borderId="0" xfId="0" applyFont="1"/>
    <xf numFmtId="0" fontId="18" fillId="0" borderId="7" xfId="0" applyFont="1" applyBorder="1"/>
    <xf numFmtId="0" fontId="18" fillId="0" borderId="8" xfId="0" applyFont="1" applyBorder="1"/>
    <xf numFmtId="1" fontId="11" fillId="0" borderId="29" xfId="0" applyNumberFormat="1" applyFont="1" applyBorder="1"/>
    <xf numFmtId="0" fontId="19" fillId="0" borderId="8" xfId="0" applyFont="1" applyBorder="1"/>
    <xf numFmtId="0" fontId="20" fillId="16" borderId="0" xfId="0" applyFont="1" applyFill="1"/>
    <xf numFmtId="0" fontId="20" fillId="17" borderId="0" xfId="0" applyFont="1" applyFill="1"/>
    <xf numFmtId="1" fontId="11" fillId="0" borderId="31" xfId="0" applyNumberFormat="1" applyFont="1" applyBorder="1"/>
    <xf numFmtId="1" fontId="11" fillId="0" borderId="32" xfId="0" applyNumberFormat="1" applyFont="1" applyBorder="1"/>
    <xf numFmtId="1" fontId="11" fillId="0" borderId="33" xfId="0" applyNumberFormat="1" applyFont="1" applyBorder="1"/>
    <xf numFmtId="1" fontId="11" fillId="0" borderId="34" xfId="0" applyNumberFormat="1" applyFont="1" applyBorder="1"/>
    <xf numFmtId="1" fontId="11" fillId="0" borderId="35" xfId="0" applyNumberFormat="1" applyFont="1" applyBorder="1"/>
    <xf numFmtId="1" fontId="11" fillId="0" borderId="36" xfId="0" applyNumberFormat="1" applyFont="1" applyBorder="1"/>
    <xf numFmtId="0" fontId="0" fillId="7" borderId="37" xfId="0" applyFill="1" applyBorder="1"/>
    <xf numFmtId="0" fontId="0" fillId="7" borderId="27" xfId="0" applyFill="1" applyBorder="1"/>
    <xf numFmtId="0" fontId="0" fillId="7" borderId="38" xfId="0" applyFill="1" applyBorder="1"/>
    <xf numFmtId="0" fontId="9" fillId="15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6" xfId="0" applyFont="1" applyFill="1" applyBorder="1" applyAlignment="1">
      <alignment horizontal="center" textRotation="90"/>
    </xf>
    <xf numFmtId="0" fontId="1" fillId="0" borderId="30" xfId="0" applyFont="1" applyBorder="1" applyAlignment="1">
      <alignment horizontal="left" vertical="top" wrapText="1"/>
    </xf>
    <xf numFmtId="0" fontId="1" fillId="0" borderId="30" xfId="0" applyFont="1" applyFill="1" applyBorder="1" applyAlignment="1">
      <alignment horizontal="left" vertical="top" wrapText="1"/>
    </xf>
    <xf numFmtId="9" fontId="11" fillId="0" borderId="27" xfId="1" applyFont="1" applyBorder="1"/>
    <xf numFmtId="9" fontId="0" fillId="0" borderId="37" xfId="1" applyFont="1" applyFill="1" applyBorder="1"/>
    <xf numFmtId="9" fontId="11" fillId="0" borderId="32" xfId="1" applyFont="1" applyBorder="1"/>
    <xf numFmtId="9" fontId="0" fillId="0" borderId="27" xfId="1" applyFont="1" applyFill="1" applyBorder="1"/>
    <xf numFmtId="9" fontId="11" fillId="0" borderId="35" xfId="1" applyFont="1" applyBorder="1"/>
    <xf numFmtId="9" fontId="0" fillId="0" borderId="38" xfId="1" applyFont="1" applyFill="1" applyBorder="1"/>
    <xf numFmtId="9" fontId="11" fillId="0" borderId="37" xfId="1" applyFont="1" applyBorder="1"/>
    <xf numFmtId="9" fontId="11" fillId="0" borderId="39" xfId="1" applyFont="1" applyBorder="1"/>
    <xf numFmtId="9" fontId="11" fillId="0" borderId="40" xfId="1" applyFont="1" applyBorder="1"/>
    <xf numFmtId="9" fontId="11" fillId="0" borderId="38" xfId="1" applyFont="1" applyBorder="1"/>
    <xf numFmtId="9" fontId="11" fillId="0" borderId="41" xfId="1" applyFont="1" applyBorder="1"/>
    <xf numFmtId="9" fontId="11" fillId="0" borderId="42" xfId="1" applyFont="1" applyBorder="1"/>
    <xf numFmtId="9" fontId="0" fillId="7" borderId="37" xfId="1" applyFont="1" applyFill="1" applyBorder="1"/>
    <xf numFmtId="9" fontId="0" fillId="7" borderId="27" xfId="1" applyFont="1" applyFill="1" applyBorder="1"/>
    <xf numFmtId="9" fontId="0" fillId="7" borderId="38" xfId="1" applyFont="1" applyFill="1" applyBorder="1"/>
    <xf numFmtId="0" fontId="1" fillId="19" borderId="6" xfId="0" applyFont="1" applyFill="1" applyBorder="1" applyAlignment="1">
      <alignment horizontal="center" vertical="center" textRotation="90"/>
    </xf>
    <xf numFmtId="0" fontId="9" fillId="15" borderId="39" xfId="0" applyFont="1" applyFill="1" applyBorder="1" applyAlignment="1">
      <alignment horizontal="center"/>
    </xf>
    <xf numFmtId="0" fontId="9" fillId="15" borderId="43" xfId="0" applyFont="1" applyFill="1" applyBorder="1" applyAlignment="1">
      <alignment horizontal="center"/>
    </xf>
    <xf numFmtId="0" fontId="0" fillId="0" borderId="43" xfId="0" applyBorder="1"/>
    <xf numFmtId="0" fontId="0" fillId="0" borderId="43" xfId="0" applyFill="1" applyBorder="1"/>
    <xf numFmtId="0" fontId="0" fillId="0" borderId="40" xfId="0" applyBorder="1"/>
    <xf numFmtId="0" fontId="0" fillId="0" borderId="3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9" fillId="0" borderId="33" xfId="0" applyFont="1" applyBorder="1"/>
    <xf numFmtId="0" fontId="11" fillId="0" borderId="0" xfId="0" applyFont="1" applyBorder="1"/>
    <xf numFmtId="0" fontId="11" fillId="0" borderId="35" xfId="0" applyFont="1" applyBorder="1"/>
    <xf numFmtId="0" fontId="18" fillId="0" borderId="31" xfId="0" applyFont="1" applyBorder="1"/>
    <xf numFmtId="0" fontId="18" fillId="0" borderId="32" xfId="0" applyFont="1" applyBorder="1"/>
    <xf numFmtId="0" fontId="18" fillId="0" borderId="0" xfId="0" applyFont="1" applyBorder="1"/>
    <xf numFmtId="0" fontId="18" fillId="0" borderId="33" xfId="0" applyFont="1" applyBorder="1"/>
    <xf numFmtId="0" fontId="0" fillId="0" borderId="32" xfId="0" applyBorder="1"/>
    <xf numFmtId="0" fontId="0" fillId="0" borderId="35" xfId="0" applyBorder="1"/>
    <xf numFmtId="0" fontId="1" fillId="18" borderId="32" xfId="0" applyFont="1" applyFill="1" applyBorder="1" applyAlignment="1">
      <alignment horizontal="center"/>
    </xf>
    <xf numFmtId="0" fontId="1" fillId="18" borderId="0" xfId="0" applyFont="1" applyFill="1" applyBorder="1" applyAlignment="1">
      <alignment horizontal="center"/>
    </xf>
    <xf numFmtId="0" fontId="18" fillId="0" borderId="41" xfId="0" applyFont="1" applyBorder="1"/>
    <xf numFmtId="0" fontId="18" fillId="0" borderId="44" xfId="0" applyFont="1" applyBorder="1"/>
    <xf numFmtId="9" fontId="11" fillId="0" borderId="37" xfId="1" applyNumberFormat="1" applyFont="1" applyBorder="1"/>
    <xf numFmtId="9" fontId="11" fillId="0" borderId="39" xfId="1" applyNumberFormat="1" applyFont="1" applyBorder="1"/>
    <xf numFmtId="9" fontId="0" fillId="0" borderId="37" xfId="1" applyNumberFormat="1" applyFont="1" applyFill="1" applyBorder="1"/>
    <xf numFmtId="9" fontId="11" fillId="0" borderId="40" xfId="1" applyNumberFormat="1" applyFont="1" applyBorder="1"/>
    <xf numFmtId="9" fontId="11" fillId="0" borderId="27" xfId="1" applyNumberFormat="1" applyFont="1" applyBorder="1"/>
    <xf numFmtId="9" fontId="11" fillId="0" borderId="32" xfId="1" applyNumberFormat="1" applyFont="1" applyBorder="1"/>
    <xf numFmtId="9" fontId="0" fillId="0" borderId="27" xfId="1" applyNumberFormat="1" applyFont="1" applyFill="1" applyBorder="1"/>
    <xf numFmtId="9" fontId="11" fillId="0" borderId="35" xfId="1" applyNumberFormat="1" applyFont="1" applyBorder="1"/>
    <xf numFmtId="9" fontId="11" fillId="0" borderId="38" xfId="1" applyNumberFormat="1" applyFont="1" applyBorder="1"/>
    <xf numFmtId="9" fontId="11" fillId="0" borderId="41" xfId="1" applyNumberFormat="1" applyFont="1" applyBorder="1"/>
    <xf numFmtId="9" fontId="0" fillId="0" borderId="38" xfId="1" applyNumberFormat="1" applyFont="1" applyFill="1" applyBorder="1"/>
    <xf numFmtId="9" fontId="11" fillId="0" borderId="42" xfId="1" applyNumberFormat="1" applyFont="1" applyBorder="1"/>
    <xf numFmtId="0" fontId="19" fillId="0" borderId="32" xfId="0" applyFont="1" applyBorder="1"/>
    <xf numFmtId="0" fontId="19" fillId="0" borderId="0" xfId="0" applyFont="1" applyBorder="1"/>
    <xf numFmtId="0" fontId="18" fillId="0" borderId="39" xfId="0" applyFont="1" applyBorder="1"/>
    <xf numFmtId="0" fontId="18" fillId="0" borderId="43" xfId="0" applyFont="1" applyBorder="1"/>
    <xf numFmtId="0" fontId="18" fillId="0" borderId="40" xfId="0" applyFont="1" applyBorder="1"/>
    <xf numFmtId="0" fontId="18" fillId="0" borderId="35" xfId="0" applyFont="1" applyBorder="1"/>
    <xf numFmtId="0" fontId="18" fillId="0" borderId="42" xfId="0" applyFont="1" applyBorder="1"/>
  </cellXfs>
  <cellStyles count="4">
    <cellStyle name="Input" xfId="2" builtinId="20"/>
    <cellStyle name="Normal" xfId="0" builtinId="0"/>
    <cellStyle name="Note" xfId="3" builtinId="10"/>
    <cellStyle name="Percent" xfId="1" builtinId="5"/>
  </cellStyles>
  <dxfs count="0"/>
  <tableStyles count="0" defaultTableStyle="TableStyleMedium2" defaultPivotStyle="PivotStyleLight16"/>
  <colors>
    <mruColors>
      <color rgb="FFFF896D"/>
      <color rgb="FFFFDE75"/>
      <color rgb="FFFF3300"/>
      <color rgb="FF66FF33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</xdr:row>
      <xdr:rowOff>0</xdr:rowOff>
    </xdr:from>
    <xdr:to>
      <xdr:col>13</xdr:col>
      <xdr:colOff>837786</xdr:colOff>
      <xdr:row>121</xdr:row>
      <xdr:rowOff>103905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174638-FED0-4EA7-AFDC-CBC5D73BD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6411575"/>
          <a:ext cx="11762961" cy="6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13</xdr:col>
      <xdr:colOff>868464</xdr:colOff>
      <xdr:row>121</xdr:row>
      <xdr:rowOff>75309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E30EA-7D37-43D5-BB57-D34000E6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16221075"/>
          <a:ext cx="11869839" cy="7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34"/>
  <sheetViews>
    <sheetView showGridLines="0" zoomScale="85" zoomScaleNormal="85" workbookViewId="0">
      <selection activeCell="C25" sqref="C25:E25"/>
    </sheetView>
  </sheetViews>
  <sheetFormatPr defaultRowHeight="15" x14ac:dyDescent="0.25"/>
  <cols>
    <col min="1" max="1" width="3.7109375" customWidth="1"/>
    <col min="2" max="2" width="23.28515625" customWidth="1"/>
    <col min="7" max="7" width="11.140625" customWidth="1"/>
    <col min="8" max="8" width="10.7109375" customWidth="1"/>
    <col min="9" max="9" width="10.42578125" customWidth="1"/>
    <col min="10" max="10" width="13" customWidth="1"/>
    <col min="11" max="11" width="10.7109375" bestFit="1" customWidth="1"/>
    <col min="13" max="13" width="9.85546875" customWidth="1"/>
  </cols>
  <sheetData>
    <row r="2" spans="2:31" x14ac:dyDescent="0.25">
      <c r="B2" s="12" t="s">
        <v>0</v>
      </c>
      <c r="C2" s="10"/>
      <c r="D2" s="11"/>
      <c r="F2" s="12" t="s">
        <v>13</v>
      </c>
      <c r="G2" s="10"/>
      <c r="H2" s="13" t="s">
        <v>17</v>
      </c>
      <c r="I2" s="14" t="s">
        <v>18</v>
      </c>
    </row>
    <row r="3" spans="2:31" x14ac:dyDescent="0.25">
      <c r="B3" s="1" t="s">
        <v>1</v>
      </c>
      <c r="C3" s="15">
        <v>3.14</v>
      </c>
      <c r="D3" s="3" t="s">
        <v>9</v>
      </c>
      <c r="F3" s="1" t="s">
        <v>14</v>
      </c>
      <c r="G3" s="2"/>
      <c r="H3" s="15">
        <v>0.44500000000000001</v>
      </c>
      <c r="I3" s="17">
        <v>0.47499999999999998</v>
      </c>
    </row>
    <row r="4" spans="2:31" x14ac:dyDescent="0.25">
      <c r="B4" s="1" t="s">
        <v>2</v>
      </c>
      <c r="C4" s="15">
        <v>1.655</v>
      </c>
      <c r="D4" s="3" t="s">
        <v>9</v>
      </c>
      <c r="F4" s="1" t="s">
        <v>15</v>
      </c>
      <c r="G4" s="2"/>
      <c r="H4" s="15">
        <v>0.52</v>
      </c>
      <c r="I4" s="17">
        <v>0.62</v>
      </c>
    </row>
    <row r="5" spans="2:31" x14ac:dyDescent="0.25">
      <c r="B5" s="1" t="s">
        <v>3</v>
      </c>
      <c r="C5" s="15">
        <v>1.611</v>
      </c>
      <c r="D5" s="3" t="s">
        <v>9</v>
      </c>
      <c r="F5" s="4" t="s">
        <v>16</v>
      </c>
      <c r="G5" s="5"/>
      <c r="H5" s="18">
        <v>0.42</v>
      </c>
      <c r="I5" s="19">
        <v>0.47</v>
      </c>
    </row>
    <row r="6" spans="2:31" x14ac:dyDescent="0.25">
      <c r="B6" s="1" t="s">
        <v>12</v>
      </c>
      <c r="C6" s="15">
        <v>1165</v>
      </c>
      <c r="D6" s="3" t="s">
        <v>10</v>
      </c>
    </row>
    <row r="7" spans="2:31" x14ac:dyDescent="0.25">
      <c r="B7" s="1" t="s">
        <v>21</v>
      </c>
      <c r="C7" s="42">
        <v>0.3</v>
      </c>
      <c r="D7" s="3" t="s">
        <v>9</v>
      </c>
    </row>
    <row r="8" spans="2:31" x14ac:dyDescent="0.25">
      <c r="B8" s="1" t="s">
        <v>5</v>
      </c>
      <c r="C8" s="15">
        <v>4.0999999999999996</v>
      </c>
      <c r="D8" s="3" t="s">
        <v>11</v>
      </c>
    </row>
    <row r="9" spans="2:31" x14ac:dyDescent="0.25">
      <c r="B9" s="1" t="s">
        <v>6</v>
      </c>
      <c r="C9" s="15">
        <v>0.98</v>
      </c>
      <c r="D9" s="3" t="s">
        <v>11</v>
      </c>
    </row>
    <row r="10" spans="2:31" x14ac:dyDescent="0.25">
      <c r="B10" s="1" t="s">
        <v>19</v>
      </c>
      <c r="C10" s="15">
        <v>1.2050000000000001</v>
      </c>
      <c r="D10" s="3" t="s">
        <v>20</v>
      </c>
    </row>
    <row r="11" spans="2:31" x14ac:dyDescent="0.25">
      <c r="B11" s="61" t="s">
        <v>4</v>
      </c>
      <c r="C11" s="62">
        <v>0.45</v>
      </c>
      <c r="D11" s="63" t="s">
        <v>9</v>
      </c>
    </row>
    <row r="12" spans="2:31" x14ac:dyDescent="0.25">
      <c r="B12" s="1" t="s">
        <v>8</v>
      </c>
      <c r="C12" s="15">
        <v>0.34820000000000001</v>
      </c>
      <c r="D12" s="3" t="s">
        <v>9</v>
      </c>
    </row>
    <row r="13" spans="2:31" x14ac:dyDescent="0.25">
      <c r="B13" s="4" t="s">
        <v>7</v>
      </c>
      <c r="C13" s="16">
        <v>0.34820000000000001</v>
      </c>
      <c r="D13" s="6" t="s">
        <v>9</v>
      </c>
    </row>
    <row r="15" spans="2:31" x14ac:dyDescent="0.25">
      <c r="N15" s="12" t="s">
        <v>46</v>
      </c>
      <c r="O15" s="10"/>
      <c r="P15" s="10"/>
      <c r="Q15" s="11"/>
      <c r="R15" s="12" t="s">
        <v>47</v>
      </c>
      <c r="S15" s="10"/>
      <c r="T15" s="10"/>
      <c r="U15" s="11"/>
      <c r="V15" s="12" t="s">
        <v>51</v>
      </c>
      <c r="W15" s="10"/>
      <c r="X15" s="10"/>
      <c r="Y15" s="10"/>
      <c r="Z15" s="11"/>
      <c r="AA15" s="12" t="s">
        <v>52</v>
      </c>
      <c r="AB15" s="10"/>
      <c r="AC15" s="10"/>
      <c r="AD15" s="10"/>
      <c r="AE15" s="11"/>
    </row>
    <row r="16" spans="2:31" x14ac:dyDescent="0.25">
      <c r="B16" s="9" t="s">
        <v>22</v>
      </c>
      <c r="C16" s="20" t="s">
        <v>32</v>
      </c>
      <c r="D16" s="21" t="s">
        <v>33</v>
      </c>
      <c r="E16" s="21" t="s">
        <v>34</v>
      </c>
      <c r="F16" s="21" t="s">
        <v>40</v>
      </c>
      <c r="G16" s="21" t="s">
        <v>41</v>
      </c>
      <c r="H16" s="21" t="s">
        <v>35</v>
      </c>
      <c r="I16" s="21" t="s">
        <v>36</v>
      </c>
      <c r="J16" s="21" t="s">
        <v>50</v>
      </c>
      <c r="K16" s="23" t="s">
        <v>37</v>
      </c>
      <c r="L16" s="24" t="s">
        <v>38</v>
      </c>
      <c r="M16" s="24" t="s">
        <v>39</v>
      </c>
      <c r="N16" s="47" t="s">
        <v>42</v>
      </c>
      <c r="O16" s="48" t="s">
        <v>43</v>
      </c>
      <c r="P16" s="50" t="s">
        <v>44</v>
      </c>
      <c r="Q16" s="51" t="s">
        <v>45</v>
      </c>
      <c r="R16" s="47" t="s">
        <v>42</v>
      </c>
      <c r="S16" s="48" t="s">
        <v>43</v>
      </c>
      <c r="T16" s="50" t="s">
        <v>44</v>
      </c>
      <c r="U16" s="51" t="s">
        <v>45</v>
      </c>
      <c r="V16" s="52" t="s">
        <v>53</v>
      </c>
      <c r="W16" s="48" t="s">
        <v>42</v>
      </c>
      <c r="X16" s="16" t="s">
        <v>43</v>
      </c>
      <c r="Y16" s="48" t="s">
        <v>44</v>
      </c>
      <c r="Z16" s="19" t="s">
        <v>45</v>
      </c>
      <c r="AA16" s="52" t="s">
        <v>53</v>
      </c>
      <c r="AB16" s="53" t="s">
        <v>42</v>
      </c>
      <c r="AC16" s="21" t="s">
        <v>43</v>
      </c>
      <c r="AD16" s="21" t="s">
        <v>44</v>
      </c>
      <c r="AE16" s="22" t="s">
        <v>45</v>
      </c>
    </row>
    <row r="17" spans="2:31" x14ac:dyDescent="0.25">
      <c r="B17" s="7" t="s">
        <v>23</v>
      </c>
      <c r="C17" s="25">
        <v>4</v>
      </c>
      <c r="D17" s="26">
        <v>0</v>
      </c>
      <c r="E17" s="26">
        <v>1</v>
      </c>
      <c r="F17" s="15">
        <v>320</v>
      </c>
      <c r="G17" s="27">
        <v>0</v>
      </c>
      <c r="H17" s="28">
        <v>0.5</v>
      </c>
      <c r="I17" s="28">
        <v>0.5</v>
      </c>
      <c r="J17" s="15">
        <v>0.5</v>
      </c>
      <c r="K17" s="29">
        <f t="shared" ref="K17:K25" si="0">0.5*$C$10*$C$8*(F17/3.6)^2</f>
        <v>19518.024691358023</v>
      </c>
      <c r="L17" s="30">
        <f t="shared" ref="L17:L25" si="1">0.5*$C$10*$C$9*(F17/3.6)^2</f>
        <v>4665.2839506172841</v>
      </c>
      <c r="M17" s="31">
        <f t="shared" ref="M17:M25" si="2">C17-L17/($C$6+G17)/9.81</f>
        <v>3.5917904607615698</v>
      </c>
      <c r="N17" s="32">
        <f t="shared" ref="N17:N22" si="3">MAX(0,($C$6+G17)*M17*9.81*$I$4/2)</f>
        <v>12725.287975308642</v>
      </c>
      <c r="O17" s="33">
        <f>($C$6+G17)*$I$3*D17*9.81*H17</f>
        <v>0</v>
      </c>
      <c r="P17" s="33">
        <f>($C$6+G17)*9.81*(M17*$C$7/$C$3/2+D17*$C$7/$C$4*J17+E17*$I$3/2)+K17*$I$5/2-L17*$C$11/$C$3/2</f>
        <v>8927.6989413285355</v>
      </c>
      <c r="Q17" s="43">
        <f>IF($M17&gt;0,(N17*$C$12),0)</f>
        <v>4430.9452730024695</v>
      </c>
      <c r="R17" s="33">
        <f>MAX(0,($C$6+G17)*M17*9.81*$I$4/2)</f>
        <v>12725.287975308642</v>
      </c>
      <c r="S17" s="33">
        <f t="shared" ref="S17:S25" si="4">-($C$6+G17)*$I$3*D17*9.81*(1-H17)</f>
        <v>0</v>
      </c>
      <c r="T17" s="33">
        <f>($C$6+G17)*9.81*(M17*$C$7/$C$3/2-D17*$C$7/$C$4*J17+E17*$I$3/2)+K17*$I$5/2-L17*$C$11/$C$3/2</f>
        <v>8927.6989413285355</v>
      </c>
      <c r="U17" s="43">
        <f>IF($M17&gt;0,(R17*$C$12),0)</f>
        <v>4430.9452730024695</v>
      </c>
      <c r="V17" s="29">
        <f>IF(M17&lt;0,($C$6+G17)*M17*9.81/2,0)</f>
        <v>0</v>
      </c>
      <c r="W17" s="33">
        <f t="shared" ref="W17:W22" si="5">MAX(0,($C$6+G17)*M17*9.81*(1-$H$4)/2)</f>
        <v>9851.8358518518507</v>
      </c>
      <c r="X17" s="33">
        <f t="shared" ref="X17:X25" si="6">($C$6+G17)*(1-$H$3)*D17*9.81*H17</f>
        <v>0</v>
      </c>
      <c r="Y17" s="33">
        <f>($C$6+G17)*9.81*(-M17*$C$7/$C$3/2+D17*$C$7/$C$4*(1-J17)+E17*(1-$H$3)/2)+K17*(1-$H$5)/2+L17*$C$11/$C$3/2</f>
        <v>7205.0187716344271</v>
      </c>
      <c r="Z17" s="43">
        <f t="shared" ref="Z17:Z22" si="7">IF($M17&gt;0,(W17*$C$12),0)</f>
        <v>3430.4092436148144</v>
      </c>
      <c r="AA17" s="29">
        <f>IF(M17&lt;0,($C$6+G17)*M17*9.81/2,0)</f>
        <v>0</v>
      </c>
      <c r="AB17" s="33">
        <f t="shared" ref="AB17:AB22" si="8">MAX(0,($C$6+G17)*M17*9.81*(1-$H$4)/2)</f>
        <v>9851.8358518518507</v>
      </c>
      <c r="AC17" s="33">
        <f t="shared" ref="AC17:AC25" si="9">-($C$6+G17)*(1-$H$3)*D17*9.81*(1-H17)</f>
        <v>0</v>
      </c>
      <c r="AD17" s="33">
        <f>($C$6+G17)*9.81*(-M17*$C$7/$C$3/2-D17*$C$7/$C$4*(1-J17)+E17*(1-$H$3)/2)+K17*(1-$H$5)/2+L17*$C$11/$C$3/2</f>
        <v>7205.0187716344271</v>
      </c>
      <c r="AE17" s="43">
        <f t="shared" ref="AE17:AE22" si="10">IF($M17&gt;0,(AB17*$C$12),0)</f>
        <v>3430.4092436148144</v>
      </c>
    </row>
    <row r="18" spans="2:31" x14ac:dyDescent="0.25">
      <c r="B18" s="7" t="s">
        <v>24</v>
      </c>
      <c r="C18" s="25">
        <v>0</v>
      </c>
      <c r="D18" s="26">
        <v>0</v>
      </c>
      <c r="E18" s="26">
        <v>5</v>
      </c>
      <c r="F18" s="34">
        <v>320</v>
      </c>
      <c r="G18" s="27">
        <v>80</v>
      </c>
      <c r="H18" s="35">
        <v>0.5</v>
      </c>
      <c r="I18" s="35">
        <v>0.5</v>
      </c>
      <c r="J18" s="15">
        <v>0.5</v>
      </c>
      <c r="K18" s="29">
        <f t="shared" si="0"/>
        <v>19518.024691358023</v>
      </c>
      <c r="L18" s="30">
        <f t="shared" si="1"/>
        <v>4665.2839506172841</v>
      </c>
      <c r="M18" s="31">
        <f t="shared" si="2"/>
        <v>-0.38197920739981611</v>
      </c>
      <c r="N18" s="29">
        <f t="shared" si="3"/>
        <v>0</v>
      </c>
      <c r="O18" s="30">
        <f t="shared" ref="O18:O25" si="11">($C$6+G18)*$I$3*D18*9.81*H18</f>
        <v>0</v>
      </c>
      <c r="P18" s="30">
        <f t="shared" ref="P18:P25" si="12">($C$6+G18)*9.81*(M18*$C$7/$C$3/2+D18*$C$7/$C$4*J18+E18*$I$3/2)+K18*$I$5/2-L18*$C$11/$C$3/2</f>
        <v>18533.047969990956</v>
      </c>
      <c r="Q18" s="43">
        <f t="shared" ref="Q18:Q25" si="13">IF($M18&gt;0,(N18*$C$12),0)</f>
        <v>0</v>
      </c>
      <c r="R18" s="30">
        <f t="shared" ref="R18:R25" si="14">MAX(0,($C$6+G18)*M18*9.81*$I$4/2)</f>
        <v>0</v>
      </c>
      <c r="S18" s="30">
        <f t="shared" si="4"/>
        <v>0</v>
      </c>
      <c r="T18" s="30">
        <f t="shared" ref="T18:T25" si="15">($C$6+G18)*9.81*(M18*$C$7/$C$3/2-D18*$C$7/$C$4*J18+E18*$I$3/2)+K18*$I$5/2-L18*$C$11/$C$3/2</f>
        <v>18533.047969990956</v>
      </c>
      <c r="U18" s="43">
        <f t="shared" ref="U18:U25" si="16">IF($M18&gt;0,(R18*$C$12),0)</f>
        <v>0</v>
      </c>
      <c r="V18" s="29">
        <f t="shared" ref="V18:V25" si="17">IF(M18&lt;0,($C$6+G18)*M18*9.81/2,0)</f>
        <v>-2332.641975308642</v>
      </c>
      <c r="W18" s="30">
        <f t="shared" si="5"/>
        <v>0</v>
      </c>
      <c r="X18" s="30">
        <f t="shared" si="6"/>
        <v>0</v>
      </c>
      <c r="Y18" s="30">
        <f t="shared" ref="Y18:Y25" si="18">($C$6+G18)*9.81*(-M18*$C$7/$C$3/2+D18*$C$7/$C$4*(1-J18)+E18*(1-$H$3)/2)+K18*(1-$H$5)/2+L18*$C$11/$C$3/2</f>
        <v>23163.548742972005</v>
      </c>
      <c r="Z18" s="43">
        <f t="shared" si="7"/>
        <v>0</v>
      </c>
      <c r="AA18" s="29">
        <f t="shared" ref="AA18:AA25" si="19">IF(M18&lt;0,($C$6+G18)*M18*9.81/2,0)</f>
        <v>-2332.641975308642</v>
      </c>
      <c r="AB18" s="30">
        <f t="shared" si="8"/>
        <v>0</v>
      </c>
      <c r="AC18" s="30">
        <f t="shared" si="9"/>
        <v>0</v>
      </c>
      <c r="AD18" s="30">
        <f t="shared" ref="AD18:AD25" si="20">($C$6+G18)*9.81*(-M18*$C$7/$C$3/2-D18*$C$7/$C$4*(1-J18)+E18*(1-$H$3)/2)+K18*(1-$H$5)/2+L18*$C$11/$C$3/2</f>
        <v>23163.548742972005</v>
      </c>
      <c r="AE18" s="43">
        <f t="shared" si="10"/>
        <v>0</v>
      </c>
    </row>
    <row r="19" spans="2:31" x14ac:dyDescent="0.25">
      <c r="B19" s="7" t="s">
        <v>25</v>
      </c>
      <c r="C19" s="25">
        <v>3</v>
      </c>
      <c r="D19" s="26">
        <v>0</v>
      </c>
      <c r="E19" s="26">
        <v>4</v>
      </c>
      <c r="F19" s="34">
        <v>250</v>
      </c>
      <c r="G19" s="27">
        <v>80</v>
      </c>
      <c r="H19" s="35">
        <v>0.5</v>
      </c>
      <c r="I19" s="35">
        <v>0.5</v>
      </c>
      <c r="J19" s="15">
        <v>0.5</v>
      </c>
      <c r="K19" s="29">
        <f t="shared" si="0"/>
        <v>11912.85686728395</v>
      </c>
      <c r="L19" s="30">
        <f t="shared" si="1"/>
        <v>2847.4633487654323</v>
      </c>
      <c r="M19" s="31">
        <f t="shared" si="2"/>
        <v>2.7668583939210105</v>
      </c>
      <c r="N19" s="29">
        <f t="shared" si="3"/>
        <v>10475.794861882714</v>
      </c>
      <c r="O19" s="30">
        <f t="shared" si="11"/>
        <v>0</v>
      </c>
      <c r="P19" s="30">
        <f t="shared" si="12"/>
        <v>15812.570756873181</v>
      </c>
      <c r="Q19" s="43">
        <f t="shared" si="13"/>
        <v>3647.671770907561</v>
      </c>
      <c r="R19" s="30">
        <f t="shared" si="14"/>
        <v>10475.794861882714</v>
      </c>
      <c r="S19" s="30">
        <f t="shared" si="4"/>
        <v>0</v>
      </c>
      <c r="T19" s="30">
        <f t="shared" si="15"/>
        <v>15812.570756873181</v>
      </c>
      <c r="U19" s="43">
        <f t="shared" si="16"/>
        <v>3647.671770907561</v>
      </c>
      <c r="V19" s="29">
        <f t="shared" si="17"/>
        <v>0</v>
      </c>
      <c r="W19" s="30">
        <f t="shared" si="5"/>
        <v>8110.2927962962949</v>
      </c>
      <c r="X19" s="30">
        <f t="shared" si="6"/>
        <v>0</v>
      </c>
      <c r="Y19" s="30">
        <f t="shared" si="18"/>
        <v>15601.386098450892</v>
      </c>
      <c r="Z19" s="43">
        <f t="shared" si="7"/>
        <v>2824.00395167037</v>
      </c>
      <c r="AA19" s="29">
        <f t="shared" si="19"/>
        <v>0</v>
      </c>
      <c r="AB19" s="30">
        <f t="shared" si="8"/>
        <v>8110.2927962962949</v>
      </c>
      <c r="AC19" s="30">
        <f t="shared" si="9"/>
        <v>0</v>
      </c>
      <c r="AD19" s="30">
        <f t="shared" si="20"/>
        <v>15601.386098450892</v>
      </c>
      <c r="AE19" s="43">
        <f t="shared" si="10"/>
        <v>2824.00395167037</v>
      </c>
    </row>
    <row r="20" spans="2:31" x14ac:dyDescent="0.25">
      <c r="B20" s="7" t="s">
        <v>27</v>
      </c>
      <c r="C20" s="25">
        <v>0</v>
      </c>
      <c r="D20" s="26">
        <v>3</v>
      </c>
      <c r="E20" s="26">
        <v>1</v>
      </c>
      <c r="F20" s="34">
        <v>320</v>
      </c>
      <c r="G20" s="27">
        <v>80</v>
      </c>
      <c r="H20" s="28">
        <v>0.8</v>
      </c>
      <c r="I20" s="35">
        <v>0.65</v>
      </c>
      <c r="J20" s="15">
        <v>0.65</v>
      </c>
      <c r="K20" s="29">
        <f t="shared" si="0"/>
        <v>19518.024691358023</v>
      </c>
      <c r="L20" s="30">
        <f t="shared" si="1"/>
        <v>4665.2839506172841</v>
      </c>
      <c r="M20" s="31">
        <f t="shared" si="2"/>
        <v>-0.38197920739981611</v>
      </c>
      <c r="N20" s="29">
        <f t="shared" si="3"/>
        <v>0</v>
      </c>
      <c r="O20" s="30">
        <f t="shared" si="11"/>
        <v>13923.333000000002</v>
      </c>
      <c r="P20" s="30">
        <f t="shared" si="12"/>
        <v>11247.411406546846</v>
      </c>
      <c r="Q20" s="43">
        <f t="shared" si="13"/>
        <v>0</v>
      </c>
      <c r="R20" s="30">
        <f t="shared" si="14"/>
        <v>0</v>
      </c>
      <c r="S20" s="30">
        <f t="shared" si="4"/>
        <v>-3480.8332499999997</v>
      </c>
      <c r="T20" s="30">
        <f t="shared" si="15"/>
        <v>2613.1295334350657</v>
      </c>
      <c r="U20" s="43">
        <f t="shared" si="16"/>
        <v>0</v>
      </c>
      <c r="V20" s="29">
        <f t="shared" si="17"/>
        <v>-2332.641975308642</v>
      </c>
      <c r="W20" s="30">
        <f t="shared" si="5"/>
        <v>0</v>
      </c>
      <c r="X20" s="30">
        <f t="shared" si="6"/>
        <v>16268.315399999999</v>
      </c>
      <c r="Y20" s="30">
        <f t="shared" si="18"/>
        <v>11931.233593425179</v>
      </c>
      <c r="Z20" s="43">
        <f t="shared" si="7"/>
        <v>0</v>
      </c>
      <c r="AA20" s="29">
        <f t="shared" si="19"/>
        <v>-2332.641975308642</v>
      </c>
      <c r="AB20" s="30">
        <f t="shared" si="8"/>
        <v>0</v>
      </c>
      <c r="AC20" s="30">
        <f t="shared" si="9"/>
        <v>-4067.0788499999985</v>
      </c>
      <c r="AD20" s="30">
        <f t="shared" si="20"/>
        <v>7282.0048925188339</v>
      </c>
      <c r="AE20" s="43">
        <f t="shared" si="10"/>
        <v>0</v>
      </c>
    </row>
    <row r="21" spans="2:31" x14ac:dyDescent="0.25">
      <c r="B21" s="7" t="s">
        <v>26</v>
      </c>
      <c r="C21" s="25">
        <v>0</v>
      </c>
      <c r="D21" s="26">
        <v>2.5</v>
      </c>
      <c r="E21" s="26">
        <v>4</v>
      </c>
      <c r="F21" s="34">
        <v>200</v>
      </c>
      <c r="G21" s="27">
        <v>80</v>
      </c>
      <c r="H21" s="28">
        <v>0.8</v>
      </c>
      <c r="I21" s="35">
        <v>0.65</v>
      </c>
      <c r="J21" s="15">
        <v>0.65</v>
      </c>
      <c r="K21" s="29">
        <f t="shared" si="0"/>
        <v>7624.2283950617284</v>
      </c>
      <c r="L21" s="30">
        <f t="shared" si="1"/>
        <v>1822.3765432098767</v>
      </c>
      <c r="M21" s="31">
        <f t="shared" si="2"/>
        <v>-0.14921062789055317</v>
      </c>
      <c r="N21" s="29">
        <f t="shared" si="3"/>
        <v>0</v>
      </c>
      <c r="O21" s="30">
        <f t="shared" si="11"/>
        <v>11602.777500000002</v>
      </c>
      <c r="P21" s="30">
        <f t="shared" si="12"/>
        <v>16774.448109235749</v>
      </c>
      <c r="Q21" s="43">
        <f t="shared" si="13"/>
        <v>0</v>
      </c>
      <c r="R21" s="30">
        <f t="shared" si="14"/>
        <v>0</v>
      </c>
      <c r="S21" s="30">
        <f t="shared" si="4"/>
        <v>-2900.6943749999996</v>
      </c>
      <c r="T21" s="30">
        <f t="shared" si="15"/>
        <v>9579.2132149759327</v>
      </c>
      <c r="U21" s="43">
        <f t="shared" si="16"/>
        <v>0</v>
      </c>
      <c r="V21" s="29">
        <f t="shared" si="17"/>
        <v>-911.18827160493834</v>
      </c>
      <c r="W21" s="30">
        <f t="shared" si="5"/>
        <v>0</v>
      </c>
      <c r="X21" s="30">
        <f t="shared" si="6"/>
        <v>13556.929499999998</v>
      </c>
      <c r="Y21" s="30">
        <f t="shared" si="18"/>
        <v>17922.774870679208</v>
      </c>
      <c r="Z21" s="43">
        <f t="shared" si="7"/>
        <v>0</v>
      </c>
      <c r="AA21" s="29">
        <f t="shared" si="19"/>
        <v>-911.18827160493834</v>
      </c>
      <c r="AB21" s="30">
        <f t="shared" si="8"/>
        <v>0</v>
      </c>
      <c r="AC21" s="30">
        <f t="shared" si="9"/>
        <v>-3389.2323749999987</v>
      </c>
      <c r="AD21" s="30">
        <f t="shared" si="20"/>
        <v>14048.417619923921</v>
      </c>
      <c r="AE21" s="43">
        <f t="shared" si="10"/>
        <v>0</v>
      </c>
    </row>
    <row r="22" spans="2:31" x14ac:dyDescent="0.25">
      <c r="B22" s="7" t="s">
        <v>28</v>
      </c>
      <c r="C22" s="25">
        <v>3</v>
      </c>
      <c r="D22" s="26">
        <v>2.5</v>
      </c>
      <c r="E22" s="26">
        <v>1</v>
      </c>
      <c r="F22" s="34">
        <v>320</v>
      </c>
      <c r="G22" s="27">
        <v>80</v>
      </c>
      <c r="H22" s="35">
        <v>0.75</v>
      </c>
      <c r="I22" s="35">
        <v>0.65</v>
      </c>
      <c r="J22" s="15">
        <v>0.65</v>
      </c>
      <c r="K22" s="29">
        <f t="shared" si="0"/>
        <v>19518.024691358023</v>
      </c>
      <c r="L22" s="30">
        <f t="shared" si="1"/>
        <v>4665.2839506172841</v>
      </c>
      <c r="M22" s="31">
        <f t="shared" si="2"/>
        <v>2.6180207926001837</v>
      </c>
      <c r="N22" s="29">
        <f t="shared" si="3"/>
        <v>9912.2704753086418</v>
      </c>
      <c r="O22" s="30">
        <f t="shared" si="11"/>
        <v>10877.60390625</v>
      </c>
      <c r="P22" s="30">
        <f t="shared" si="12"/>
        <v>12278.223108203667</v>
      </c>
      <c r="Q22" s="43">
        <f t="shared" si="13"/>
        <v>3451.4525795024692</v>
      </c>
      <c r="R22" s="30">
        <f t="shared" si="14"/>
        <v>9912.2704753086418</v>
      </c>
      <c r="S22" s="30">
        <f t="shared" si="4"/>
        <v>-3625.8679687500003</v>
      </c>
      <c r="T22" s="30">
        <f t="shared" si="15"/>
        <v>5082.9882139438496</v>
      </c>
      <c r="U22" s="43">
        <f t="shared" si="16"/>
        <v>3451.4525795024692</v>
      </c>
      <c r="V22" s="29">
        <f t="shared" si="17"/>
        <v>0</v>
      </c>
      <c r="W22" s="30">
        <f t="shared" si="5"/>
        <v>7674.0158518518519</v>
      </c>
      <c r="X22" s="30">
        <f t="shared" si="6"/>
        <v>12709.621406249998</v>
      </c>
      <c r="Y22" s="30">
        <f t="shared" si="18"/>
        <v>9793.4626772668471</v>
      </c>
      <c r="Z22" s="43">
        <f t="shared" si="7"/>
        <v>2672.0923196148151</v>
      </c>
      <c r="AA22" s="29">
        <f t="shared" si="19"/>
        <v>0</v>
      </c>
      <c r="AB22" s="30">
        <f t="shared" si="8"/>
        <v>7674.0158518518519</v>
      </c>
      <c r="AC22" s="30">
        <f t="shared" si="9"/>
        <v>-4236.5404687499995</v>
      </c>
      <c r="AD22" s="30">
        <f t="shared" si="20"/>
        <v>5919.1054265115608</v>
      </c>
      <c r="AE22" s="43">
        <f t="shared" si="10"/>
        <v>2672.0923196148151</v>
      </c>
    </row>
    <row r="23" spans="2:31" x14ac:dyDescent="0.25">
      <c r="B23" s="7" t="s">
        <v>29</v>
      </c>
      <c r="C23" s="25">
        <v>-2.5</v>
      </c>
      <c r="D23" s="26">
        <v>0</v>
      </c>
      <c r="E23" s="26">
        <v>5</v>
      </c>
      <c r="F23" s="34">
        <v>0</v>
      </c>
      <c r="G23" s="27">
        <v>80</v>
      </c>
      <c r="H23" s="35">
        <v>0.5</v>
      </c>
      <c r="I23" s="35">
        <v>0.5</v>
      </c>
      <c r="J23" s="15">
        <v>0.5</v>
      </c>
      <c r="K23" s="29">
        <f t="shared" si="0"/>
        <v>0</v>
      </c>
      <c r="L23" s="30">
        <f t="shared" si="1"/>
        <v>0</v>
      </c>
      <c r="M23" s="31">
        <f t="shared" si="2"/>
        <v>-2.5</v>
      </c>
      <c r="N23" s="41">
        <f>($C$6+G23)*M23*9.81*$I$4/2</f>
        <v>-9465.4237499999999</v>
      </c>
      <c r="O23" s="30">
        <f t="shared" si="11"/>
        <v>0</v>
      </c>
      <c r="P23" s="30">
        <f t="shared" si="12"/>
        <v>13044.859215764332</v>
      </c>
      <c r="Q23" s="45">
        <f>(N23*$C$12)</f>
        <v>-3295.8605497500002</v>
      </c>
      <c r="R23" s="46">
        <f>($C$6+G23)*M23*9.81*$I$4/2</f>
        <v>-9465.4237499999999</v>
      </c>
      <c r="S23" s="30">
        <f t="shared" si="4"/>
        <v>0</v>
      </c>
      <c r="T23" s="30">
        <f t="shared" si="15"/>
        <v>13044.859215764332</v>
      </c>
      <c r="U23" s="45">
        <f>(R23*$C$12)</f>
        <v>-3295.8605497500002</v>
      </c>
      <c r="V23" s="29"/>
      <c r="W23" s="46">
        <f>($C$6+G23)*M23*9.81*(1-$H$4)/2</f>
        <v>-7328.07</v>
      </c>
      <c r="X23" s="30">
        <f t="shared" si="6"/>
        <v>0</v>
      </c>
      <c r="Y23" s="30">
        <f t="shared" si="18"/>
        <v>18404.774534235665</v>
      </c>
      <c r="Z23" s="45">
        <f>(W23*$C$12)</f>
        <v>-2551.6339739999999</v>
      </c>
      <c r="AA23" s="29"/>
      <c r="AB23" s="46">
        <f>($C$6+G23)*M23*9.81*(1-$H$4)/2</f>
        <v>-7328.07</v>
      </c>
      <c r="AC23" s="30">
        <f t="shared" si="9"/>
        <v>0</v>
      </c>
      <c r="AD23" s="30">
        <f t="shared" si="20"/>
        <v>18404.774534235665</v>
      </c>
      <c r="AE23" s="45">
        <f>(AB23*$C$12)</f>
        <v>-2551.6339739999999</v>
      </c>
    </row>
    <row r="24" spans="2:31" x14ac:dyDescent="0.25">
      <c r="B24" s="7" t="s">
        <v>30</v>
      </c>
      <c r="C24" s="25">
        <v>-1.6</v>
      </c>
      <c r="D24" s="26">
        <v>0</v>
      </c>
      <c r="E24" s="26">
        <v>1</v>
      </c>
      <c r="F24" s="34">
        <v>150</v>
      </c>
      <c r="G24" s="27">
        <v>80</v>
      </c>
      <c r="H24" s="35">
        <v>0.5</v>
      </c>
      <c r="I24" s="35">
        <v>0.5</v>
      </c>
      <c r="J24" s="15">
        <v>0.5</v>
      </c>
      <c r="K24" s="29">
        <f t="shared" si="0"/>
        <v>4288.6284722222217</v>
      </c>
      <c r="L24" s="30">
        <f t="shared" si="1"/>
        <v>1025.0868055555554</v>
      </c>
      <c r="M24" s="31">
        <f t="shared" si="2"/>
        <v>-1.6839309781884362</v>
      </c>
      <c r="N24" s="29">
        <f>MAX(0,($C$6+G24)*M24*9.81*$I$4/2)</f>
        <v>0</v>
      </c>
      <c r="O24" s="30">
        <f t="shared" si="11"/>
        <v>0</v>
      </c>
      <c r="P24" s="30">
        <f t="shared" si="12"/>
        <v>2852.5871767737085</v>
      </c>
      <c r="Q24" s="43">
        <f t="shared" si="13"/>
        <v>0</v>
      </c>
      <c r="R24" s="30">
        <f t="shared" si="14"/>
        <v>0</v>
      </c>
      <c r="S24" s="30">
        <f t="shared" si="4"/>
        <v>0</v>
      </c>
      <c r="T24" s="30">
        <f t="shared" si="15"/>
        <v>2852.5871767737085</v>
      </c>
      <c r="U24" s="43">
        <f t="shared" si="16"/>
        <v>0</v>
      </c>
      <c r="V24" s="29">
        <f t="shared" si="17"/>
        <v>-10283.303402777779</v>
      </c>
      <c r="W24" s="30">
        <f>MAX(0,($C$6+G24)*M24*9.81*(1-$H$4)/2)</f>
        <v>0</v>
      </c>
      <c r="X24" s="30">
        <f t="shared" si="6"/>
        <v>0</v>
      </c>
      <c r="Y24" s="30">
        <f t="shared" si="18"/>
        <v>5688.8695211429576</v>
      </c>
      <c r="Z24" s="43">
        <f>IF($M24&gt;0,(W24*$C$12),0)</f>
        <v>0</v>
      </c>
      <c r="AA24" s="29">
        <f t="shared" si="19"/>
        <v>-10283.303402777779</v>
      </c>
      <c r="AB24" s="30">
        <f>MAX(0,($C$6+G24)*M24*9.81*(1-$H$4)/2)</f>
        <v>0</v>
      </c>
      <c r="AC24" s="30">
        <f t="shared" si="9"/>
        <v>0</v>
      </c>
      <c r="AD24" s="30">
        <f t="shared" si="20"/>
        <v>5688.8695211429576</v>
      </c>
      <c r="AE24" s="43">
        <f>IF($M24&gt;0,(AB24*$C$12),0)</f>
        <v>0</v>
      </c>
    </row>
    <row r="25" spans="2:31" x14ac:dyDescent="0.25">
      <c r="B25" s="8" t="s">
        <v>31</v>
      </c>
      <c r="C25" s="36">
        <v>-2</v>
      </c>
      <c r="D25" s="37">
        <v>0</v>
      </c>
      <c r="E25" s="37">
        <v>5</v>
      </c>
      <c r="F25" s="16">
        <v>150</v>
      </c>
      <c r="G25" s="38">
        <v>80</v>
      </c>
      <c r="H25" s="18">
        <v>0.5</v>
      </c>
      <c r="I25" s="18">
        <v>0.5</v>
      </c>
      <c r="J25" s="16">
        <v>0.5</v>
      </c>
      <c r="K25" s="39">
        <f t="shared" si="0"/>
        <v>4288.6284722222217</v>
      </c>
      <c r="L25" s="38">
        <f t="shared" si="1"/>
        <v>1025.0868055555554</v>
      </c>
      <c r="M25" s="40">
        <f t="shared" si="2"/>
        <v>-2.0839309781884361</v>
      </c>
      <c r="N25" s="39">
        <f>MAX(0,($C$6+G25)*M25*9.81*$I$4/2)</f>
        <v>0</v>
      </c>
      <c r="O25" s="38">
        <f t="shared" si="11"/>
        <v>0</v>
      </c>
      <c r="P25" s="38">
        <f t="shared" si="12"/>
        <v>14221.986651296003</v>
      </c>
      <c r="Q25" s="44">
        <f t="shared" si="13"/>
        <v>0</v>
      </c>
      <c r="R25" s="38">
        <f t="shared" si="14"/>
        <v>0</v>
      </c>
      <c r="S25" s="38">
        <f t="shared" si="4"/>
        <v>0</v>
      </c>
      <c r="T25" s="38">
        <f t="shared" si="15"/>
        <v>14221.986651296003</v>
      </c>
      <c r="U25" s="44">
        <f t="shared" si="16"/>
        <v>0</v>
      </c>
      <c r="V25" s="39">
        <f t="shared" si="17"/>
        <v>-12725.993402777778</v>
      </c>
      <c r="W25" s="38">
        <f>MAX(0,($C$6+G25)*M25*9.81*(1-$H$4)/2)</f>
        <v>0</v>
      </c>
      <c r="X25" s="38">
        <f t="shared" si="6"/>
        <v>0</v>
      </c>
      <c r="Y25" s="38">
        <f t="shared" si="18"/>
        <v>19479.177046620665</v>
      </c>
      <c r="Z25" s="44">
        <f>IF($M25&gt;0,(W25*$C$12),0)</f>
        <v>0</v>
      </c>
      <c r="AA25" s="39">
        <f t="shared" si="19"/>
        <v>-12725.993402777778</v>
      </c>
      <c r="AB25" s="38">
        <f>MAX(0,($C$6+G25)*M25*9.81*(1-$H$4)/2)</f>
        <v>0</v>
      </c>
      <c r="AC25" s="38">
        <f t="shared" si="9"/>
        <v>0</v>
      </c>
      <c r="AD25" s="38">
        <f t="shared" si="20"/>
        <v>19479.177046620665</v>
      </c>
      <c r="AE25" s="44">
        <f>IF($M25&gt;0,(AB25*$C$12),0)</f>
        <v>0</v>
      </c>
    </row>
    <row r="26" spans="2:31" x14ac:dyDescent="0.25">
      <c r="V26" s="56" t="s">
        <v>54</v>
      </c>
      <c r="W26" s="55"/>
      <c r="AA26" s="56" t="s">
        <v>54</v>
      </c>
      <c r="AB26" s="55"/>
    </row>
    <row r="27" spans="2:31" x14ac:dyDescent="0.25">
      <c r="B27" t="s">
        <v>48</v>
      </c>
      <c r="V27" s="54">
        <f>-MIN(V17:V25)*$C$13</f>
        <v>4431.1909028472228</v>
      </c>
      <c r="W27" s="6" t="s">
        <v>55</v>
      </c>
      <c r="AA27" s="54">
        <f>-MIN(AA17:AA25)*$C$13</f>
        <v>4431.1909028472228</v>
      </c>
      <c r="AB27" s="6" t="s">
        <v>55</v>
      </c>
    </row>
    <row r="28" spans="2:31" x14ac:dyDescent="0.25">
      <c r="B28" t="s">
        <v>49</v>
      </c>
      <c r="P28" s="49"/>
    </row>
    <row r="29" spans="2:31" x14ac:dyDescent="0.25">
      <c r="P29" s="49"/>
      <c r="Q29" s="49"/>
    </row>
    <row r="30" spans="2:31" x14ac:dyDescent="0.25">
      <c r="P30" s="49"/>
      <c r="Q30" s="49"/>
    </row>
    <row r="33" spans="16:17" x14ac:dyDescent="0.25">
      <c r="P33" s="49"/>
    </row>
    <row r="34" spans="16:17" x14ac:dyDescent="0.25">
      <c r="P34" s="49"/>
      <c r="Q34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326B-910F-4CC1-9DFA-C65CF6D06061}">
  <dimension ref="B2:AE34"/>
  <sheetViews>
    <sheetView showGridLines="0" zoomScale="80" zoomScaleNormal="80" workbookViewId="0">
      <selection activeCell="B17" sqref="B17:E25"/>
    </sheetView>
  </sheetViews>
  <sheetFormatPr defaultRowHeight="15" x14ac:dyDescent="0.25"/>
  <cols>
    <col min="1" max="1" width="3.7109375" customWidth="1"/>
    <col min="2" max="2" width="23.28515625" customWidth="1"/>
    <col min="7" max="7" width="11.140625" customWidth="1"/>
    <col min="8" max="8" width="10.7109375" customWidth="1"/>
    <col min="9" max="9" width="10.42578125" customWidth="1"/>
    <col min="10" max="10" width="13" customWidth="1"/>
    <col min="11" max="11" width="10.7109375" bestFit="1" customWidth="1"/>
    <col min="13" max="13" width="9.85546875" customWidth="1"/>
  </cols>
  <sheetData>
    <row r="2" spans="2:31" x14ac:dyDescent="0.25">
      <c r="B2" s="12" t="s">
        <v>0</v>
      </c>
      <c r="C2" s="10"/>
      <c r="D2" s="11"/>
      <c r="F2" s="12" t="s">
        <v>13</v>
      </c>
      <c r="G2" s="10"/>
      <c r="H2" s="13" t="s">
        <v>17</v>
      </c>
      <c r="I2" s="14" t="s">
        <v>18</v>
      </c>
    </row>
    <row r="3" spans="2:31" x14ac:dyDescent="0.25">
      <c r="B3" s="1" t="s">
        <v>1</v>
      </c>
      <c r="C3" s="15">
        <v>3.14</v>
      </c>
      <c r="D3" s="3" t="s">
        <v>9</v>
      </c>
      <c r="F3" s="1" t="s">
        <v>14</v>
      </c>
      <c r="G3" s="2"/>
      <c r="H3" s="57">
        <v>0.44500000000000001</v>
      </c>
      <c r="I3" s="60">
        <v>0.45500000000000002</v>
      </c>
    </row>
    <row r="4" spans="2:31" x14ac:dyDescent="0.25">
      <c r="B4" s="1" t="s">
        <v>2</v>
      </c>
      <c r="C4" s="57">
        <v>1.665</v>
      </c>
      <c r="D4" s="3" t="s">
        <v>9</v>
      </c>
      <c r="F4" s="1" t="s">
        <v>15</v>
      </c>
      <c r="G4" s="2"/>
      <c r="H4" s="57">
        <v>0.55000000000000004</v>
      </c>
      <c r="I4" s="17">
        <v>0.62</v>
      </c>
    </row>
    <row r="5" spans="2:31" x14ac:dyDescent="0.25">
      <c r="B5" s="1" t="s">
        <v>3</v>
      </c>
      <c r="C5" s="15">
        <v>1.611</v>
      </c>
      <c r="D5" s="3" t="s">
        <v>9</v>
      </c>
      <c r="F5" s="4" t="s">
        <v>16</v>
      </c>
      <c r="G5" s="5"/>
      <c r="H5" s="58">
        <v>0.4</v>
      </c>
      <c r="I5" s="59">
        <v>0.47</v>
      </c>
    </row>
    <row r="6" spans="2:31" x14ac:dyDescent="0.25">
      <c r="B6" s="1" t="s">
        <v>12</v>
      </c>
      <c r="C6" s="15">
        <v>1165</v>
      </c>
      <c r="D6" s="3" t="s">
        <v>10</v>
      </c>
    </row>
    <row r="7" spans="2:31" x14ac:dyDescent="0.25">
      <c r="B7" s="1" t="s">
        <v>21</v>
      </c>
      <c r="C7" s="42">
        <v>0.3</v>
      </c>
      <c r="D7" s="3" t="s">
        <v>9</v>
      </c>
    </row>
    <row r="8" spans="2:31" x14ac:dyDescent="0.25">
      <c r="B8" s="1" t="s">
        <v>5</v>
      </c>
      <c r="C8" s="15">
        <v>4.0999999999999996</v>
      </c>
      <c r="D8" s="3" t="s">
        <v>11</v>
      </c>
    </row>
    <row r="9" spans="2:31" x14ac:dyDescent="0.25">
      <c r="B9" s="1" t="s">
        <v>6</v>
      </c>
      <c r="C9" s="15">
        <v>0.98</v>
      </c>
      <c r="D9" s="3" t="s">
        <v>11</v>
      </c>
    </row>
    <row r="10" spans="2:31" x14ac:dyDescent="0.25">
      <c r="B10" s="1" t="s">
        <v>19</v>
      </c>
      <c r="C10" s="15">
        <v>1.2050000000000001</v>
      </c>
      <c r="D10" s="3" t="s">
        <v>20</v>
      </c>
    </row>
    <row r="11" spans="2:31" x14ac:dyDescent="0.25">
      <c r="B11" s="61" t="s">
        <v>4</v>
      </c>
      <c r="C11" s="62">
        <v>0.45</v>
      </c>
      <c r="D11" s="63" t="s">
        <v>9</v>
      </c>
      <c r="F11" s="95"/>
    </row>
    <row r="12" spans="2:31" x14ac:dyDescent="0.25">
      <c r="B12" s="1" t="s">
        <v>8</v>
      </c>
      <c r="C12" s="15">
        <v>0.34820000000000001</v>
      </c>
      <c r="D12" s="3" t="s">
        <v>9</v>
      </c>
    </row>
    <row r="13" spans="2:31" x14ac:dyDescent="0.25">
      <c r="B13" s="4" t="s">
        <v>7</v>
      </c>
      <c r="C13" s="16">
        <v>0.34820000000000001</v>
      </c>
      <c r="D13" s="6" t="s">
        <v>9</v>
      </c>
    </row>
    <row r="15" spans="2:31" x14ac:dyDescent="0.25">
      <c r="N15" s="12" t="s">
        <v>46</v>
      </c>
      <c r="O15" s="10"/>
      <c r="P15" s="10"/>
      <c r="Q15" s="11"/>
      <c r="R15" s="12" t="s">
        <v>47</v>
      </c>
      <c r="S15" s="10"/>
      <c r="T15" s="10"/>
      <c r="U15" s="11"/>
      <c r="V15" s="12" t="s">
        <v>51</v>
      </c>
      <c r="W15" s="10"/>
      <c r="X15" s="10"/>
      <c r="Y15" s="10"/>
      <c r="Z15" s="11"/>
      <c r="AA15" s="12" t="s">
        <v>52</v>
      </c>
      <c r="AB15" s="10"/>
      <c r="AC15" s="10"/>
      <c r="AD15" s="10"/>
      <c r="AE15" s="11"/>
    </row>
    <row r="16" spans="2:31" x14ac:dyDescent="0.25">
      <c r="B16" s="9" t="s">
        <v>22</v>
      </c>
      <c r="C16" s="20" t="s">
        <v>32</v>
      </c>
      <c r="D16" s="21" t="s">
        <v>33</v>
      </c>
      <c r="E16" s="21" t="s">
        <v>34</v>
      </c>
      <c r="F16" s="21" t="s">
        <v>40</v>
      </c>
      <c r="G16" s="21" t="s">
        <v>41</v>
      </c>
      <c r="H16" s="21" t="s">
        <v>35</v>
      </c>
      <c r="I16" s="21" t="s">
        <v>36</v>
      </c>
      <c r="J16" s="21" t="s">
        <v>50</v>
      </c>
      <c r="K16" s="23" t="s">
        <v>37</v>
      </c>
      <c r="L16" s="24" t="s">
        <v>38</v>
      </c>
      <c r="M16" s="24" t="s">
        <v>39</v>
      </c>
      <c r="N16" s="47" t="s">
        <v>42</v>
      </c>
      <c r="O16" s="48" t="s">
        <v>43</v>
      </c>
      <c r="P16" s="50" t="s">
        <v>44</v>
      </c>
      <c r="Q16" s="51" t="s">
        <v>45</v>
      </c>
      <c r="R16" s="47" t="s">
        <v>42</v>
      </c>
      <c r="S16" s="48" t="s">
        <v>43</v>
      </c>
      <c r="T16" s="50" t="s">
        <v>44</v>
      </c>
      <c r="U16" s="51" t="s">
        <v>45</v>
      </c>
      <c r="V16" s="52" t="s">
        <v>53</v>
      </c>
      <c r="W16" s="48" t="s">
        <v>42</v>
      </c>
      <c r="X16" s="16" t="s">
        <v>43</v>
      </c>
      <c r="Y16" s="48" t="s">
        <v>44</v>
      </c>
      <c r="Z16" s="19" t="s">
        <v>45</v>
      </c>
      <c r="AA16" s="52" t="s">
        <v>53</v>
      </c>
      <c r="AB16" s="53" t="s">
        <v>42</v>
      </c>
      <c r="AC16" s="21" t="s">
        <v>43</v>
      </c>
      <c r="AD16" s="21" t="s">
        <v>44</v>
      </c>
      <c r="AE16" s="22" t="s">
        <v>45</v>
      </c>
    </row>
    <row r="17" spans="2:31" x14ac:dyDescent="0.25">
      <c r="B17" s="7" t="s">
        <v>23</v>
      </c>
      <c r="C17" s="25">
        <v>4</v>
      </c>
      <c r="D17" s="26">
        <v>0</v>
      </c>
      <c r="E17" s="26">
        <v>1</v>
      </c>
      <c r="F17" s="15">
        <v>320</v>
      </c>
      <c r="G17" s="27">
        <v>0</v>
      </c>
      <c r="H17" s="28">
        <v>0.5</v>
      </c>
      <c r="I17" s="28">
        <v>0.5</v>
      </c>
      <c r="J17" s="15">
        <v>0.5</v>
      </c>
      <c r="K17" s="29">
        <f t="shared" ref="K17:K25" si="0">0.5*$C$10*$C$8*(F17/3.6)^2</f>
        <v>19518.024691358023</v>
      </c>
      <c r="L17" s="30">
        <f t="shared" ref="L17:L25" si="1">0.5*$C$10*$C$9*(F17/3.6)^2</f>
        <v>4665.2839506172841</v>
      </c>
      <c r="M17" s="31">
        <f t="shared" ref="M17:M25" si="2">C17-L17/($C$6+G17)/9.81</f>
        <v>3.5917904607615698</v>
      </c>
      <c r="N17" s="32">
        <f t="shared" ref="N17:N22" si="3">MAX(0,($C$6+G17)*M17*9.81*$I$4/2)</f>
        <v>12725.287975308642</v>
      </c>
      <c r="O17" s="33">
        <f>($C$6+G17)*$I$3*D17*9.81*H17</f>
        <v>0</v>
      </c>
      <c r="P17" s="33">
        <f>($C$6+G17)*9.81*(M17*$C$7/$C$3/2+D17*$C$7/$C$4*J17+E17*$I$3/2)+K17*$I$5/2-L17*$C$11/$C$3/2</f>
        <v>8813.4124413285354</v>
      </c>
      <c r="Q17" s="43">
        <f>IF($M17&gt;0,(N17*$C$12),0)</f>
        <v>4430.9452730024695</v>
      </c>
      <c r="R17" s="33">
        <f>MAX(0,($C$6+G17)*M17*9.81*$I$4/2)</f>
        <v>12725.287975308642</v>
      </c>
      <c r="S17" s="33">
        <f t="shared" ref="S17:S25" si="4">-($C$6+G17)*$I$3*D17*9.81*(1-H17)</f>
        <v>0</v>
      </c>
      <c r="T17" s="33">
        <f>($C$6+G17)*9.81*(M17*$C$7/$C$3/2-D17*$C$7/$C$4*J17+E17*$I$3/2)+K17*$I$5/2-L17*$C$11/$C$3/2</f>
        <v>8813.4124413285354</v>
      </c>
      <c r="U17" s="43">
        <f>IF($M17&gt;0,(R17*$C$12),0)</f>
        <v>4430.9452730024695</v>
      </c>
      <c r="V17" s="29">
        <f>IF(M17&lt;0,($C$6+G17)*M17*9.81/2,0)</f>
        <v>0</v>
      </c>
      <c r="W17" s="33">
        <f t="shared" ref="W17:W22" si="5">MAX(0,($C$6+G17)*M17*9.81*(1-$H$4)/2)</f>
        <v>9236.0961111111101</v>
      </c>
      <c r="X17" s="33">
        <f t="shared" ref="X17:X25" si="6">($C$6+G17)*(1-$H$3)*D17*9.81*H17</f>
        <v>0</v>
      </c>
      <c r="Y17" s="33">
        <f>($C$6+G17)*9.81*(-M17*$C$7/$C$3/2+D17*$C$7/$C$4*(1-J17)+E17*(1-$H$3)/2)+K17*(1-$H$5)/2+L17*$C$11/$C$3/2</f>
        <v>7400.1990185480063</v>
      </c>
      <c r="Z17" s="43">
        <f t="shared" ref="Z17:Z22" si="7">IF($M17&gt;0,(W17*$C$12),0)</f>
        <v>3216.0086658888886</v>
      </c>
      <c r="AA17" s="29">
        <f>IF(M17&lt;0,($C$6+G17)*M17*9.81/2,0)</f>
        <v>0</v>
      </c>
      <c r="AB17" s="33">
        <f t="shared" ref="AB17:AB22" si="8">MAX(0,($C$6+G17)*M17*9.81*(1-$H$4)/2)</f>
        <v>9236.0961111111101</v>
      </c>
      <c r="AC17" s="33">
        <f t="shared" ref="AC17:AC25" si="9">-($C$6+G17)*(1-$H$3)*D17*9.81*(1-H17)</f>
        <v>0</v>
      </c>
      <c r="AD17" s="33">
        <f>($C$6+G17)*9.81*(-M17*$C$7/$C$3/2-D17*$C$7/$C$4*(1-J17)+E17*(1-$H$3)/2)+K17*(1-$H$5)/2+L17*$C$11/$C$3/2</f>
        <v>7400.1990185480063</v>
      </c>
      <c r="AE17" s="43">
        <f t="shared" ref="AE17:AE22" si="10">IF($M17&gt;0,(AB17*$C$12),0)</f>
        <v>3216.0086658888886</v>
      </c>
    </row>
    <row r="18" spans="2:31" x14ac:dyDescent="0.25">
      <c r="B18" s="7" t="s">
        <v>24</v>
      </c>
      <c r="C18" s="25">
        <v>0</v>
      </c>
      <c r="D18" s="26">
        <v>0</v>
      </c>
      <c r="E18" s="26">
        <v>5</v>
      </c>
      <c r="F18" s="34">
        <v>320</v>
      </c>
      <c r="G18" s="27">
        <v>80</v>
      </c>
      <c r="H18" s="35">
        <v>0.5</v>
      </c>
      <c r="I18" s="35">
        <v>0.5</v>
      </c>
      <c r="J18" s="15">
        <v>0.5</v>
      </c>
      <c r="K18" s="29">
        <f t="shared" si="0"/>
        <v>19518.024691358023</v>
      </c>
      <c r="L18" s="30">
        <f t="shared" si="1"/>
        <v>4665.2839506172841</v>
      </c>
      <c r="M18" s="31">
        <f t="shared" si="2"/>
        <v>-0.38197920739981611</v>
      </c>
      <c r="N18" s="29">
        <f t="shared" si="3"/>
        <v>0</v>
      </c>
      <c r="O18" s="30">
        <f t="shared" ref="O18:O25" si="11">($C$6+G18)*$I$3*D18*9.81*H18</f>
        <v>0</v>
      </c>
      <c r="P18" s="30">
        <f t="shared" ref="P18:P25" si="12">($C$6+G18)*9.81*(M18*$C$7/$C$3/2+D18*$C$7/$C$4*J18+E18*$I$3/2)+K18*$I$5/2-L18*$C$11/$C$3/2</f>
        <v>17922.375469990955</v>
      </c>
      <c r="Q18" s="43">
        <f t="shared" ref="Q18:Q25" si="13">IF($M18&gt;0,(N18*$C$12),0)</f>
        <v>0</v>
      </c>
      <c r="R18" s="30">
        <f t="shared" ref="R18:R25" si="14">MAX(0,($C$6+G18)*M18*9.81*$I$4/2)</f>
        <v>0</v>
      </c>
      <c r="S18" s="30">
        <f t="shared" si="4"/>
        <v>0</v>
      </c>
      <c r="T18" s="30">
        <f t="shared" ref="T18:T25" si="15">($C$6+G18)*9.81*(M18*$C$7/$C$3/2-D18*$C$7/$C$4*J18+E18*$I$3/2)+K18*$I$5/2-L18*$C$11/$C$3/2</f>
        <v>17922.375469990955</v>
      </c>
      <c r="U18" s="43">
        <f t="shared" ref="U18:U25" si="16">IF($M18&gt;0,(R18*$C$12),0)</f>
        <v>0</v>
      </c>
      <c r="V18" s="29">
        <f t="shared" ref="V18:V25" si="17">IF(M18&lt;0,($C$6+G18)*M18*9.81/2,0)</f>
        <v>-2332.641975308642</v>
      </c>
      <c r="W18" s="30">
        <f t="shared" si="5"/>
        <v>0</v>
      </c>
      <c r="X18" s="30">
        <f t="shared" si="6"/>
        <v>0</v>
      </c>
      <c r="Y18" s="30">
        <f t="shared" ref="Y18:Y25" si="18">($C$6+G18)*9.81*(-M18*$C$7/$C$3/2+D18*$C$7/$C$4*(1-J18)+E18*(1-$H$3)/2)+K18*(1-$H$5)/2+L18*$C$11/$C$3/2</f>
        <v>23358.728989885582</v>
      </c>
      <c r="Z18" s="43">
        <f t="shared" si="7"/>
        <v>0</v>
      </c>
      <c r="AA18" s="29">
        <f t="shared" ref="AA18:AA25" si="19">IF(M18&lt;0,($C$6+G18)*M18*9.81/2,0)</f>
        <v>-2332.641975308642</v>
      </c>
      <c r="AB18" s="30">
        <f t="shared" si="8"/>
        <v>0</v>
      </c>
      <c r="AC18" s="30">
        <f t="shared" si="9"/>
        <v>0</v>
      </c>
      <c r="AD18" s="30">
        <f t="shared" ref="AD18:AD25" si="20">($C$6+G18)*9.81*(-M18*$C$7/$C$3/2-D18*$C$7/$C$4*(1-J18)+E18*(1-$H$3)/2)+K18*(1-$H$5)/2+L18*$C$11/$C$3/2</f>
        <v>23358.728989885582</v>
      </c>
      <c r="AE18" s="43">
        <f t="shared" si="10"/>
        <v>0</v>
      </c>
    </row>
    <row r="19" spans="2:31" x14ac:dyDescent="0.25">
      <c r="B19" s="7" t="s">
        <v>25</v>
      </c>
      <c r="C19" s="25">
        <v>3</v>
      </c>
      <c r="D19" s="26">
        <v>0</v>
      </c>
      <c r="E19" s="26">
        <v>4</v>
      </c>
      <c r="F19" s="34">
        <v>250</v>
      </c>
      <c r="G19" s="27">
        <v>80</v>
      </c>
      <c r="H19" s="35">
        <v>0.5</v>
      </c>
      <c r="I19" s="35">
        <v>0.5</v>
      </c>
      <c r="J19" s="15">
        <v>0.5</v>
      </c>
      <c r="K19" s="29">
        <f t="shared" si="0"/>
        <v>11912.85686728395</v>
      </c>
      <c r="L19" s="30">
        <f t="shared" si="1"/>
        <v>2847.4633487654323</v>
      </c>
      <c r="M19" s="31">
        <f t="shared" si="2"/>
        <v>2.7668583939210105</v>
      </c>
      <c r="N19" s="29">
        <f t="shared" si="3"/>
        <v>10475.794861882714</v>
      </c>
      <c r="O19" s="30">
        <f t="shared" si="11"/>
        <v>0</v>
      </c>
      <c r="P19" s="30">
        <f t="shared" si="12"/>
        <v>15324.032756873181</v>
      </c>
      <c r="Q19" s="43">
        <f t="shared" si="13"/>
        <v>3647.671770907561</v>
      </c>
      <c r="R19" s="30">
        <f t="shared" si="14"/>
        <v>10475.794861882714</v>
      </c>
      <c r="S19" s="30">
        <f t="shared" si="4"/>
        <v>0</v>
      </c>
      <c r="T19" s="30">
        <f t="shared" si="15"/>
        <v>15324.032756873181</v>
      </c>
      <c r="U19" s="43">
        <f t="shared" si="16"/>
        <v>3647.671770907561</v>
      </c>
      <c r="V19" s="29">
        <f t="shared" si="17"/>
        <v>0</v>
      </c>
      <c r="W19" s="30">
        <f t="shared" si="5"/>
        <v>7603.3994965277761</v>
      </c>
      <c r="X19" s="30">
        <f t="shared" si="6"/>
        <v>0</v>
      </c>
      <c r="Y19" s="30">
        <f t="shared" si="18"/>
        <v>15720.514667123731</v>
      </c>
      <c r="Z19" s="43">
        <f t="shared" si="7"/>
        <v>2647.5037046909715</v>
      </c>
      <c r="AA19" s="29">
        <f t="shared" si="19"/>
        <v>0</v>
      </c>
      <c r="AB19" s="30">
        <f t="shared" si="8"/>
        <v>7603.3994965277761</v>
      </c>
      <c r="AC19" s="30">
        <f t="shared" si="9"/>
        <v>0</v>
      </c>
      <c r="AD19" s="30">
        <f t="shared" si="20"/>
        <v>15720.514667123731</v>
      </c>
      <c r="AE19" s="43">
        <f t="shared" si="10"/>
        <v>2647.5037046909715</v>
      </c>
    </row>
    <row r="20" spans="2:31" x14ac:dyDescent="0.25">
      <c r="B20" s="7" t="s">
        <v>27</v>
      </c>
      <c r="C20" s="25">
        <v>0</v>
      </c>
      <c r="D20" s="26">
        <v>3</v>
      </c>
      <c r="E20" s="26">
        <v>1</v>
      </c>
      <c r="F20" s="34">
        <v>320</v>
      </c>
      <c r="G20" s="27">
        <v>80</v>
      </c>
      <c r="H20" s="28">
        <v>0.8</v>
      </c>
      <c r="I20" s="35">
        <v>0.65</v>
      </c>
      <c r="J20" s="15">
        <v>0.65</v>
      </c>
      <c r="K20" s="29">
        <f t="shared" si="0"/>
        <v>19518.024691358023</v>
      </c>
      <c r="L20" s="30">
        <f t="shared" si="1"/>
        <v>4665.2839506172841</v>
      </c>
      <c r="M20" s="31">
        <f t="shared" si="2"/>
        <v>-0.38197920739981611</v>
      </c>
      <c r="N20" s="29">
        <f t="shared" si="3"/>
        <v>0</v>
      </c>
      <c r="O20" s="30">
        <f t="shared" si="11"/>
        <v>13337.087400000002</v>
      </c>
      <c r="P20" s="30">
        <f t="shared" si="12"/>
        <v>11099.348132153118</v>
      </c>
      <c r="Q20" s="43">
        <f t="shared" si="13"/>
        <v>0</v>
      </c>
      <c r="R20" s="30">
        <f t="shared" si="14"/>
        <v>0</v>
      </c>
      <c r="S20" s="30">
        <f t="shared" si="4"/>
        <v>-3334.2718499999996</v>
      </c>
      <c r="T20" s="30">
        <f t="shared" si="15"/>
        <v>2516.9238078287945</v>
      </c>
      <c r="U20" s="43">
        <f t="shared" si="16"/>
        <v>0</v>
      </c>
      <c r="V20" s="29">
        <f t="shared" si="17"/>
        <v>-2332.641975308642</v>
      </c>
      <c r="W20" s="30">
        <f t="shared" si="5"/>
        <v>0</v>
      </c>
      <c r="X20" s="30">
        <f t="shared" si="6"/>
        <v>16268.315399999999</v>
      </c>
      <c r="Y20" s="30">
        <f t="shared" si="18"/>
        <v>12112.452192588287</v>
      </c>
      <c r="Z20" s="43">
        <f t="shared" si="7"/>
        <v>0</v>
      </c>
      <c r="AA20" s="29">
        <f t="shared" si="19"/>
        <v>-2332.641975308642</v>
      </c>
      <c r="AB20" s="30">
        <f t="shared" si="8"/>
        <v>0</v>
      </c>
      <c r="AC20" s="30">
        <f t="shared" si="9"/>
        <v>-4067.0788499999985</v>
      </c>
      <c r="AD20" s="30">
        <f t="shared" si="20"/>
        <v>7491.1467871828827</v>
      </c>
      <c r="AE20" s="43">
        <f t="shared" si="10"/>
        <v>0</v>
      </c>
    </row>
    <row r="21" spans="2:31" x14ac:dyDescent="0.25">
      <c r="B21" s="7" t="s">
        <v>26</v>
      </c>
      <c r="C21" s="25">
        <v>0</v>
      </c>
      <c r="D21" s="26">
        <v>2.5</v>
      </c>
      <c r="E21" s="26">
        <v>4</v>
      </c>
      <c r="F21" s="34">
        <v>200</v>
      </c>
      <c r="G21" s="27">
        <v>80</v>
      </c>
      <c r="H21" s="28">
        <v>0.8</v>
      </c>
      <c r="I21" s="35">
        <v>0.65</v>
      </c>
      <c r="J21" s="15">
        <v>0.65</v>
      </c>
      <c r="K21" s="29">
        <f t="shared" si="0"/>
        <v>7624.2283950617284</v>
      </c>
      <c r="L21" s="30">
        <f t="shared" si="1"/>
        <v>1822.3765432098767</v>
      </c>
      <c r="M21" s="31">
        <f t="shared" si="2"/>
        <v>-0.14921062789055317</v>
      </c>
      <c r="N21" s="29">
        <f t="shared" si="3"/>
        <v>0</v>
      </c>
      <c r="O21" s="30">
        <f t="shared" si="11"/>
        <v>11114.239500000001</v>
      </c>
      <c r="P21" s="30">
        <f t="shared" si="12"/>
        <v>16264.302797240982</v>
      </c>
      <c r="Q21" s="43">
        <f t="shared" si="13"/>
        <v>0</v>
      </c>
      <c r="R21" s="30">
        <f t="shared" si="14"/>
        <v>0</v>
      </c>
      <c r="S21" s="30">
        <f t="shared" si="4"/>
        <v>-2778.5598749999995</v>
      </c>
      <c r="T21" s="30">
        <f t="shared" si="15"/>
        <v>9112.2825269707082</v>
      </c>
      <c r="U21" s="43">
        <f t="shared" si="16"/>
        <v>0</v>
      </c>
      <c r="V21" s="29">
        <f t="shared" si="17"/>
        <v>-911.18827160493834</v>
      </c>
      <c r="W21" s="30">
        <f t="shared" si="5"/>
        <v>0</v>
      </c>
      <c r="X21" s="30">
        <f t="shared" si="6"/>
        <v>13556.929499999998</v>
      </c>
      <c r="Y21" s="30">
        <f t="shared" si="18"/>
        <v>17987.382448171102</v>
      </c>
      <c r="Z21" s="43">
        <f t="shared" si="7"/>
        <v>0</v>
      </c>
      <c r="AA21" s="29">
        <f t="shared" si="19"/>
        <v>-911.18827160493834</v>
      </c>
      <c r="AB21" s="30">
        <f t="shared" si="8"/>
        <v>0</v>
      </c>
      <c r="AC21" s="30">
        <f t="shared" si="9"/>
        <v>-3389.2323749999987</v>
      </c>
      <c r="AD21" s="30">
        <f t="shared" si="20"/>
        <v>14136.294610333262</v>
      </c>
      <c r="AE21" s="43">
        <f t="shared" si="10"/>
        <v>0</v>
      </c>
    </row>
    <row r="22" spans="2:31" x14ac:dyDescent="0.25">
      <c r="B22" s="7" t="s">
        <v>28</v>
      </c>
      <c r="C22" s="25">
        <v>3</v>
      </c>
      <c r="D22" s="26">
        <v>2.5</v>
      </c>
      <c r="E22" s="26">
        <v>1</v>
      </c>
      <c r="F22" s="34">
        <v>320</v>
      </c>
      <c r="G22" s="27">
        <v>80</v>
      </c>
      <c r="H22" s="35">
        <v>0.75</v>
      </c>
      <c r="I22" s="35">
        <v>0.65</v>
      </c>
      <c r="J22" s="15">
        <v>0.65</v>
      </c>
      <c r="K22" s="29">
        <f t="shared" si="0"/>
        <v>19518.024691358023</v>
      </c>
      <c r="L22" s="30">
        <f t="shared" si="1"/>
        <v>4665.2839506172841</v>
      </c>
      <c r="M22" s="31">
        <f t="shared" si="2"/>
        <v>2.6180207926001837</v>
      </c>
      <c r="N22" s="29">
        <f t="shared" si="3"/>
        <v>9912.2704753086418</v>
      </c>
      <c r="O22" s="30">
        <f t="shared" si="11"/>
        <v>10419.59953125</v>
      </c>
      <c r="P22" s="30">
        <f t="shared" si="12"/>
        <v>12134.481296208894</v>
      </c>
      <c r="Q22" s="43">
        <f t="shared" si="13"/>
        <v>3451.4525795024692</v>
      </c>
      <c r="R22" s="30">
        <f t="shared" si="14"/>
        <v>9912.2704753086418</v>
      </c>
      <c r="S22" s="30">
        <f t="shared" si="4"/>
        <v>-3473.1998437500001</v>
      </c>
      <c r="T22" s="30">
        <f t="shared" si="15"/>
        <v>4982.4610259386236</v>
      </c>
      <c r="U22" s="43">
        <f t="shared" si="16"/>
        <v>3451.4525795024692</v>
      </c>
      <c r="V22" s="29">
        <f t="shared" si="17"/>
        <v>0</v>
      </c>
      <c r="W22" s="30">
        <f t="shared" si="5"/>
        <v>7194.3898611111108</v>
      </c>
      <c r="X22" s="30">
        <f t="shared" si="6"/>
        <v>12709.621406249998</v>
      </c>
      <c r="Y22" s="30">
        <f t="shared" si="18"/>
        <v>9977.0082177217027</v>
      </c>
      <c r="Z22" s="43">
        <f t="shared" si="7"/>
        <v>2505.0865496388888</v>
      </c>
      <c r="AA22" s="29">
        <f t="shared" si="19"/>
        <v>0</v>
      </c>
      <c r="AB22" s="30">
        <f t="shared" si="8"/>
        <v>7194.3898611111108</v>
      </c>
      <c r="AC22" s="30">
        <f t="shared" si="9"/>
        <v>-4236.5404687499995</v>
      </c>
      <c r="AD22" s="30">
        <f t="shared" si="20"/>
        <v>6125.9203798838635</v>
      </c>
      <c r="AE22" s="43">
        <f t="shared" si="10"/>
        <v>2505.0865496388888</v>
      </c>
    </row>
    <row r="23" spans="2:31" x14ac:dyDescent="0.25">
      <c r="B23" s="7" t="s">
        <v>29</v>
      </c>
      <c r="C23" s="25">
        <v>-2.5</v>
      </c>
      <c r="D23" s="26">
        <v>0</v>
      </c>
      <c r="E23" s="26">
        <v>5</v>
      </c>
      <c r="F23" s="34">
        <v>0</v>
      </c>
      <c r="G23" s="27">
        <v>80</v>
      </c>
      <c r="H23" s="35">
        <v>0.5</v>
      </c>
      <c r="I23" s="35">
        <v>0.5</v>
      </c>
      <c r="J23" s="15">
        <v>0.5</v>
      </c>
      <c r="K23" s="29">
        <f t="shared" si="0"/>
        <v>0</v>
      </c>
      <c r="L23" s="30">
        <f t="shared" si="1"/>
        <v>0</v>
      </c>
      <c r="M23" s="31">
        <f t="shared" si="2"/>
        <v>-2.5</v>
      </c>
      <c r="N23" s="41">
        <f>($C$6+G23)*M23*9.81*$I$4/2</f>
        <v>-9465.4237499999999</v>
      </c>
      <c r="O23" s="30">
        <f t="shared" si="11"/>
        <v>0</v>
      </c>
      <c r="P23" s="30">
        <f t="shared" si="12"/>
        <v>12434.186715764332</v>
      </c>
      <c r="Q23" s="45">
        <f>(N23*$C$12)</f>
        <v>-3295.8605497500002</v>
      </c>
      <c r="R23" s="46">
        <f>($C$6+G23)*M23*9.81*$I$4/2</f>
        <v>-9465.4237499999999</v>
      </c>
      <c r="S23" s="30">
        <f t="shared" si="4"/>
        <v>0</v>
      </c>
      <c r="T23" s="30">
        <f t="shared" si="15"/>
        <v>12434.186715764332</v>
      </c>
      <c r="U23" s="45">
        <f>(R23*$C$12)</f>
        <v>-3295.8605497500002</v>
      </c>
      <c r="V23" s="29"/>
      <c r="W23" s="46">
        <f>($C$6+G23)*M23*9.81*(1-$H$4)/2</f>
        <v>-6870.0656249999993</v>
      </c>
      <c r="X23" s="30">
        <f t="shared" si="6"/>
        <v>0</v>
      </c>
      <c r="Y23" s="30">
        <f t="shared" si="18"/>
        <v>18404.774534235665</v>
      </c>
      <c r="Z23" s="45">
        <f>(W23*$C$12)</f>
        <v>-2392.1568506249996</v>
      </c>
      <c r="AA23" s="29"/>
      <c r="AB23" s="46">
        <f>($C$6+G23)*M23*9.81*(1-$H$4)/2</f>
        <v>-6870.0656249999993</v>
      </c>
      <c r="AC23" s="30">
        <f t="shared" si="9"/>
        <v>0</v>
      </c>
      <c r="AD23" s="30">
        <f t="shared" si="20"/>
        <v>18404.774534235665</v>
      </c>
      <c r="AE23" s="45">
        <f>(AB23*$C$12)</f>
        <v>-2392.1568506249996</v>
      </c>
    </row>
    <row r="24" spans="2:31" x14ac:dyDescent="0.25">
      <c r="B24" s="7" t="s">
        <v>30</v>
      </c>
      <c r="C24" s="25">
        <v>-1.6</v>
      </c>
      <c r="D24" s="26">
        <v>0</v>
      </c>
      <c r="E24" s="26">
        <v>1</v>
      </c>
      <c r="F24" s="34">
        <v>150</v>
      </c>
      <c r="G24" s="27">
        <v>80</v>
      </c>
      <c r="H24" s="35">
        <v>0.5</v>
      </c>
      <c r="I24" s="35">
        <v>0.5</v>
      </c>
      <c r="J24" s="15">
        <v>0.5</v>
      </c>
      <c r="K24" s="29">
        <f t="shared" si="0"/>
        <v>4288.6284722222217</v>
      </c>
      <c r="L24" s="30">
        <f t="shared" si="1"/>
        <v>1025.0868055555554</v>
      </c>
      <c r="M24" s="31">
        <f t="shared" si="2"/>
        <v>-1.6839309781884362</v>
      </c>
      <c r="N24" s="29">
        <f>MAX(0,($C$6+G24)*M24*9.81*$I$4/2)</f>
        <v>0</v>
      </c>
      <c r="O24" s="30">
        <f t="shared" si="11"/>
        <v>0</v>
      </c>
      <c r="P24" s="30">
        <f t="shared" si="12"/>
        <v>2730.4526767737084</v>
      </c>
      <c r="Q24" s="43">
        <f t="shared" si="13"/>
        <v>0</v>
      </c>
      <c r="R24" s="30">
        <f t="shared" si="14"/>
        <v>0</v>
      </c>
      <c r="S24" s="30">
        <f t="shared" si="4"/>
        <v>0</v>
      </c>
      <c r="T24" s="30">
        <f t="shared" si="15"/>
        <v>2730.4526767737084</v>
      </c>
      <c r="U24" s="43">
        <f t="shared" si="16"/>
        <v>0</v>
      </c>
      <c r="V24" s="29">
        <f t="shared" si="17"/>
        <v>-10283.303402777779</v>
      </c>
      <c r="W24" s="30">
        <f>MAX(0,($C$6+G24)*M24*9.81*(1-$H$4)/2)</f>
        <v>0</v>
      </c>
      <c r="X24" s="30">
        <f t="shared" si="6"/>
        <v>0</v>
      </c>
      <c r="Y24" s="30">
        <f t="shared" si="18"/>
        <v>5731.7558058651803</v>
      </c>
      <c r="Z24" s="43">
        <f>IF($M24&gt;0,(W24*$C$12),0)</f>
        <v>0</v>
      </c>
      <c r="AA24" s="29">
        <f t="shared" si="19"/>
        <v>-10283.303402777779</v>
      </c>
      <c r="AB24" s="30">
        <f>MAX(0,($C$6+G24)*M24*9.81*(1-$H$4)/2)</f>
        <v>0</v>
      </c>
      <c r="AC24" s="30">
        <f t="shared" si="9"/>
        <v>0</v>
      </c>
      <c r="AD24" s="30">
        <f t="shared" si="20"/>
        <v>5731.7558058651803</v>
      </c>
      <c r="AE24" s="43">
        <f>IF($M24&gt;0,(AB24*$C$12),0)</f>
        <v>0</v>
      </c>
    </row>
    <row r="25" spans="2:31" x14ac:dyDescent="0.25">
      <c r="B25" s="8" t="s">
        <v>31</v>
      </c>
      <c r="C25" s="36">
        <v>-2</v>
      </c>
      <c r="D25" s="37">
        <v>0</v>
      </c>
      <c r="E25" s="37">
        <v>5</v>
      </c>
      <c r="F25" s="16">
        <v>150</v>
      </c>
      <c r="G25" s="38">
        <v>80</v>
      </c>
      <c r="H25" s="18">
        <v>0.5</v>
      </c>
      <c r="I25" s="18">
        <v>0.5</v>
      </c>
      <c r="J25" s="16">
        <v>0.5</v>
      </c>
      <c r="K25" s="39">
        <f t="shared" si="0"/>
        <v>4288.6284722222217</v>
      </c>
      <c r="L25" s="38">
        <f t="shared" si="1"/>
        <v>1025.0868055555554</v>
      </c>
      <c r="M25" s="40">
        <f t="shared" si="2"/>
        <v>-2.0839309781884361</v>
      </c>
      <c r="N25" s="39">
        <f>MAX(0,($C$6+G25)*M25*9.81*$I$4/2)</f>
        <v>0</v>
      </c>
      <c r="O25" s="38">
        <f t="shared" si="11"/>
        <v>0</v>
      </c>
      <c r="P25" s="38">
        <f t="shared" si="12"/>
        <v>13611.314151296003</v>
      </c>
      <c r="Q25" s="44">
        <f t="shared" si="13"/>
        <v>0</v>
      </c>
      <c r="R25" s="38">
        <f t="shared" si="14"/>
        <v>0</v>
      </c>
      <c r="S25" s="38">
        <f t="shared" si="4"/>
        <v>0</v>
      </c>
      <c r="T25" s="38">
        <f t="shared" si="15"/>
        <v>13611.314151296003</v>
      </c>
      <c r="U25" s="44">
        <f t="shared" si="16"/>
        <v>0</v>
      </c>
      <c r="V25" s="39">
        <f t="shared" si="17"/>
        <v>-12725.993402777778</v>
      </c>
      <c r="W25" s="38">
        <f>MAX(0,($C$6+G25)*M25*9.81*(1-$H$4)/2)</f>
        <v>0</v>
      </c>
      <c r="X25" s="38">
        <f t="shared" si="6"/>
        <v>0</v>
      </c>
      <c r="Y25" s="38">
        <f t="shared" si="18"/>
        <v>19522.063331342888</v>
      </c>
      <c r="Z25" s="44">
        <f>IF($M25&gt;0,(W25*$C$12),0)</f>
        <v>0</v>
      </c>
      <c r="AA25" s="39">
        <f t="shared" si="19"/>
        <v>-12725.993402777778</v>
      </c>
      <c r="AB25" s="38">
        <f>MAX(0,($C$6+G25)*M25*9.81*(1-$H$4)/2)</f>
        <v>0</v>
      </c>
      <c r="AC25" s="38">
        <f t="shared" si="9"/>
        <v>0</v>
      </c>
      <c r="AD25" s="38">
        <f t="shared" si="20"/>
        <v>19522.063331342888</v>
      </c>
      <c r="AE25" s="44">
        <f>IF($M25&gt;0,(AB25*$C$12),0)</f>
        <v>0</v>
      </c>
    </row>
    <row r="26" spans="2:31" x14ac:dyDescent="0.25">
      <c r="V26" s="56" t="s">
        <v>54</v>
      </c>
      <c r="W26" s="55"/>
      <c r="AA26" s="56" t="s">
        <v>54</v>
      </c>
      <c r="AB26" s="55"/>
    </row>
    <row r="27" spans="2:31" x14ac:dyDescent="0.25">
      <c r="B27" t="s">
        <v>48</v>
      </c>
      <c r="V27" s="54">
        <f>-MIN(V17:V25)*$C$13</f>
        <v>4431.1909028472228</v>
      </c>
      <c r="W27" s="6" t="s">
        <v>55</v>
      </c>
      <c r="AA27" s="54">
        <f>-MIN(AA17:AA25)*$C$13</f>
        <v>4431.1909028472228</v>
      </c>
      <c r="AB27" s="6" t="s">
        <v>55</v>
      </c>
    </row>
    <row r="28" spans="2:31" x14ac:dyDescent="0.25">
      <c r="B28" t="s">
        <v>49</v>
      </c>
      <c r="P28" s="49"/>
    </row>
    <row r="29" spans="2:31" x14ac:dyDescent="0.25">
      <c r="P29" s="49"/>
      <c r="Q29" s="49"/>
    </row>
    <row r="30" spans="2:31" x14ac:dyDescent="0.25">
      <c r="P30" s="49"/>
      <c r="Q30" s="49"/>
    </row>
    <row r="33" spans="16:17" x14ac:dyDescent="0.25">
      <c r="P33" s="49"/>
    </row>
    <row r="34" spans="16:17" x14ac:dyDescent="0.25">
      <c r="P34" s="49"/>
      <c r="Q34" s="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0D7C-AA7F-4BDE-9A97-20AE1C744703}">
  <dimension ref="B2:AF35"/>
  <sheetViews>
    <sheetView showGridLines="0" zoomScale="85" zoomScaleNormal="85" workbookViewId="0">
      <selection activeCell="H42" sqref="H42"/>
    </sheetView>
  </sheetViews>
  <sheetFormatPr defaultRowHeight="15" x14ac:dyDescent="0.25"/>
  <cols>
    <col min="1" max="1" width="3.7109375" customWidth="1"/>
    <col min="2" max="2" width="31.7109375" customWidth="1"/>
    <col min="7" max="7" width="11.140625" customWidth="1"/>
    <col min="8" max="8" width="10.7109375" customWidth="1"/>
    <col min="9" max="9" width="10.42578125" customWidth="1"/>
    <col min="10" max="10" width="13" customWidth="1"/>
    <col min="11" max="11" width="10.7109375" bestFit="1" customWidth="1"/>
    <col min="13" max="13" width="9.85546875" customWidth="1"/>
  </cols>
  <sheetData>
    <row r="2" spans="2:32" x14ac:dyDescent="0.25">
      <c r="B2" s="12" t="s">
        <v>0</v>
      </c>
      <c r="C2" s="10"/>
      <c r="D2" s="11"/>
      <c r="F2" s="12" t="s">
        <v>13</v>
      </c>
      <c r="G2" s="10"/>
      <c r="H2" s="13" t="s">
        <v>17</v>
      </c>
      <c r="I2" s="14" t="s">
        <v>18</v>
      </c>
    </row>
    <row r="3" spans="2:32" x14ac:dyDescent="0.25">
      <c r="B3" s="1" t="s">
        <v>1</v>
      </c>
      <c r="C3" s="15">
        <v>3.14</v>
      </c>
      <c r="D3" s="3" t="s">
        <v>9</v>
      </c>
      <c r="F3" s="1" t="s">
        <v>14</v>
      </c>
      <c r="G3" s="2"/>
      <c r="H3" s="15">
        <v>0.44500000000000001</v>
      </c>
      <c r="I3" s="17">
        <v>0.47499999999999998</v>
      </c>
    </row>
    <row r="4" spans="2:32" x14ac:dyDescent="0.25">
      <c r="B4" s="1" t="s">
        <v>2</v>
      </c>
      <c r="C4" s="15">
        <v>1.655</v>
      </c>
      <c r="D4" s="3" t="s">
        <v>9</v>
      </c>
      <c r="F4" s="1" t="s">
        <v>15</v>
      </c>
      <c r="G4" s="2"/>
      <c r="H4" s="15">
        <v>0.52</v>
      </c>
      <c r="I4" s="17">
        <v>0.62</v>
      </c>
    </row>
    <row r="5" spans="2:32" x14ac:dyDescent="0.25">
      <c r="B5" s="1" t="s">
        <v>3</v>
      </c>
      <c r="C5" s="15">
        <v>1.611</v>
      </c>
      <c r="D5" s="3" t="s">
        <v>9</v>
      </c>
      <c r="F5" s="4" t="s">
        <v>16</v>
      </c>
      <c r="G5" s="5"/>
      <c r="H5" s="18">
        <v>0.42</v>
      </c>
      <c r="I5" s="19">
        <v>0.47</v>
      </c>
    </row>
    <row r="6" spans="2:32" x14ac:dyDescent="0.25">
      <c r="B6" s="1" t="s">
        <v>12</v>
      </c>
      <c r="C6" s="15">
        <v>1165</v>
      </c>
      <c r="D6" s="3" t="s">
        <v>10</v>
      </c>
    </row>
    <row r="7" spans="2:32" x14ac:dyDescent="0.25">
      <c r="B7" s="1" t="s">
        <v>21</v>
      </c>
      <c r="C7" s="42">
        <v>0.3</v>
      </c>
      <c r="D7" s="3" t="s">
        <v>9</v>
      </c>
      <c r="F7" s="103"/>
    </row>
    <row r="8" spans="2:32" x14ac:dyDescent="0.25">
      <c r="B8" s="1" t="s">
        <v>5</v>
      </c>
      <c r="C8" s="87">
        <v>4.0999999999999996</v>
      </c>
      <c r="D8" s="3" t="s">
        <v>11</v>
      </c>
    </row>
    <row r="9" spans="2:32" x14ac:dyDescent="0.25">
      <c r="B9" s="1" t="s">
        <v>6</v>
      </c>
      <c r="C9" s="87">
        <v>0.98</v>
      </c>
      <c r="D9" s="3" t="s">
        <v>11</v>
      </c>
    </row>
    <row r="10" spans="2:32" x14ac:dyDescent="0.25">
      <c r="B10" s="1" t="s">
        <v>19</v>
      </c>
      <c r="C10" s="15">
        <v>1.2050000000000001</v>
      </c>
      <c r="D10" s="3" t="s">
        <v>20</v>
      </c>
    </row>
    <row r="11" spans="2:32" x14ac:dyDescent="0.25">
      <c r="B11" s="61" t="s">
        <v>4</v>
      </c>
      <c r="C11" s="62">
        <v>0.45</v>
      </c>
      <c r="D11" s="63" t="s">
        <v>9</v>
      </c>
    </row>
    <row r="12" spans="2:32" x14ac:dyDescent="0.25">
      <c r="B12" s="1" t="s">
        <v>8</v>
      </c>
      <c r="C12" s="15">
        <v>0.34820000000000001</v>
      </c>
      <c r="D12" s="3" t="s">
        <v>9</v>
      </c>
    </row>
    <row r="13" spans="2:32" x14ac:dyDescent="0.25">
      <c r="B13" s="4" t="s">
        <v>7</v>
      </c>
      <c r="C13" s="16">
        <v>0.34820000000000001</v>
      </c>
      <c r="D13" s="6" t="s">
        <v>9</v>
      </c>
    </row>
    <row r="15" spans="2:32" x14ac:dyDescent="0.25">
      <c r="N15" s="12" t="s">
        <v>46</v>
      </c>
      <c r="O15" s="10"/>
      <c r="P15" s="10"/>
      <c r="Q15" s="11"/>
      <c r="R15" s="12" t="s">
        <v>47</v>
      </c>
      <c r="S15" s="10"/>
      <c r="T15" s="10"/>
      <c r="U15" s="11"/>
      <c r="V15" s="12" t="s">
        <v>51</v>
      </c>
      <c r="W15" s="10"/>
      <c r="X15" s="102" t="s">
        <v>62</v>
      </c>
      <c r="Y15" s="10"/>
      <c r="Z15" s="10"/>
      <c r="AA15" s="11"/>
      <c r="AB15" s="12" t="s">
        <v>52</v>
      </c>
      <c r="AC15" s="10"/>
      <c r="AD15" s="102" t="s">
        <v>63</v>
      </c>
      <c r="AE15" s="10"/>
      <c r="AF15" s="11"/>
    </row>
    <row r="16" spans="2:32" x14ac:dyDescent="0.25">
      <c r="B16" s="9" t="s">
        <v>22</v>
      </c>
      <c r="C16" s="20" t="s">
        <v>32</v>
      </c>
      <c r="D16" s="21" t="s">
        <v>33</v>
      </c>
      <c r="E16" s="21" t="s">
        <v>34</v>
      </c>
      <c r="F16" s="21" t="s">
        <v>40</v>
      </c>
      <c r="G16" s="21" t="s">
        <v>41</v>
      </c>
      <c r="H16" s="21" t="s">
        <v>35</v>
      </c>
      <c r="I16" s="21" t="s">
        <v>36</v>
      </c>
      <c r="J16" s="21" t="s">
        <v>50</v>
      </c>
      <c r="K16" s="23" t="s">
        <v>37</v>
      </c>
      <c r="L16" s="24" t="s">
        <v>38</v>
      </c>
      <c r="M16" s="24" t="s">
        <v>39</v>
      </c>
      <c r="N16" s="47" t="s">
        <v>42</v>
      </c>
      <c r="O16" s="48" t="s">
        <v>43</v>
      </c>
      <c r="P16" s="50" t="s">
        <v>44</v>
      </c>
      <c r="Q16" s="51" t="s">
        <v>45</v>
      </c>
      <c r="R16" s="47" t="s">
        <v>42</v>
      </c>
      <c r="S16" s="48" t="s">
        <v>43</v>
      </c>
      <c r="T16" s="50" t="s">
        <v>44</v>
      </c>
      <c r="U16" s="51" t="s">
        <v>45</v>
      </c>
      <c r="V16" s="52" t="s">
        <v>53</v>
      </c>
      <c r="W16" s="48" t="s">
        <v>42</v>
      </c>
      <c r="X16" s="16" t="s">
        <v>43</v>
      </c>
      <c r="Y16" s="48" t="s">
        <v>44</v>
      </c>
      <c r="Z16" s="96" t="s">
        <v>58</v>
      </c>
      <c r="AA16" s="19" t="s">
        <v>45</v>
      </c>
      <c r="AB16" s="52" t="s">
        <v>53</v>
      </c>
      <c r="AC16" s="53" t="s">
        <v>42</v>
      </c>
      <c r="AD16" s="21" t="s">
        <v>43</v>
      </c>
      <c r="AE16" s="21" t="s">
        <v>44</v>
      </c>
      <c r="AF16" s="22" t="s">
        <v>45</v>
      </c>
    </row>
    <row r="17" spans="2:32" x14ac:dyDescent="0.25">
      <c r="B17" s="7" t="s">
        <v>23</v>
      </c>
      <c r="C17" s="104">
        <v>3.3</v>
      </c>
      <c r="D17" s="105">
        <v>0</v>
      </c>
      <c r="E17" s="105">
        <v>0</v>
      </c>
      <c r="F17" s="106">
        <v>320</v>
      </c>
      <c r="G17" s="107">
        <v>0</v>
      </c>
      <c r="H17" s="108">
        <v>0.5</v>
      </c>
      <c r="I17" s="108">
        <v>0.5</v>
      </c>
      <c r="J17" s="109">
        <v>0.5</v>
      </c>
      <c r="K17" s="29">
        <f>0.5*$C$10*$C$8*(F17/3.6)^2</f>
        <v>19518.024691358023</v>
      </c>
      <c r="L17" s="30">
        <f>0.5*$C$10*$C$9*(F17/3.6)^2</f>
        <v>4665.2839506172841</v>
      </c>
      <c r="M17" s="31">
        <f>C17-(L17/($C$6+G17)/9.81)</f>
        <v>2.8917904607615696</v>
      </c>
      <c r="N17" s="32">
        <f t="shared" ref="N17:N23" si="0">MAX(0,($C$6+G17)*M17*9.81*$I$4/2)</f>
        <v>10245.270925308641</v>
      </c>
      <c r="O17" s="33">
        <f>($C$6+G17)*$I$3*D17*9.81*H17</f>
        <v>0</v>
      </c>
      <c r="P17" s="33">
        <f>($C$6+G17)*9.81*(M17*$C$7/$C$3/2+D17*$C$7/$C$4*J17+E17*$I$3/2)+K17*$I$5/2-L17*$C$11/$C$3/2</f>
        <v>5831.22633384446</v>
      </c>
      <c r="Q17" s="43">
        <f>IF($M17&gt;0,(N17*$C$12),0)</f>
        <v>3567.4033361924689</v>
      </c>
      <c r="R17" s="33">
        <f>MAX(0,($C$6+G17)*M17*9.81*$I$4/2)</f>
        <v>10245.270925308641</v>
      </c>
      <c r="S17" s="33">
        <f>($C$6+G17)*$I$3*D17*9.81*(1-H17)</f>
        <v>0</v>
      </c>
      <c r="T17" s="33">
        <f>($C$6+G17)*9.81*(M17*$C$7/$C$3/2-D17*$C$7/$C$4*J17+E17*$I$3/2)+K17*$I$5/2-L17*$C$11/$C$3/2</f>
        <v>5831.22633384446</v>
      </c>
      <c r="U17" s="43">
        <f>IF($M17&gt;0,(R17*$C$12),0)</f>
        <v>3567.4033361924689</v>
      </c>
      <c r="V17" s="29">
        <f t="shared" ref="V17:V23" si="1">IF(M17&lt;0,($C$6+G17)*M17*9.81/2,0)</f>
        <v>0</v>
      </c>
      <c r="W17" s="33">
        <f t="shared" ref="W17:W23" si="2">MAX(0,($C$6+G17)*M17*9.81*(1-$H$4)/2)</f>
        <v>7931.8226518518513</v>
      </c>
      <c r="X17" s="33">
        <f t="shared" ref="X17:X26" si="3">($C$6+G17)*(1-$H$3)*D17*9.81*H17</f>
        <v>0</v>
      </c>
      <c r="Y17" s="33">
        <f t="shared" ref="Y17:Y26" si="4">($C$6+G17)*9.81*(-M17*$C$7/$C$3/2+D17*$C$7/$C$4*(1-J17)+E17*(1-$H$3)/2)+K17*(1-$H$5)/2+L17*$C$11/$C$3/2</f>
        <v>4415.7366291185035</v>
      </c>
      <c r="Z17" s="97">
        <f>SQRT(W17^2+X17^2+Y17^2)</f>
        <v>9078.1353018210175</v>
      </c>
      <c r="AA17" s="43">
        <f t="shared" ref="AA17:AA23" si="5">IF($M17&gt;0,(W17*$C$12),0)</f>
        <v>2761.8606473748146</v>
      </c>
      <c r="AB17" s="29">
        <f>IF(M17&lt;0,($C$6+G17)*M17*9.81/2,0)</f>
        <v>0</v>
      </c>
      <c r="AC17" s="33">
        <f>MAX(0,($C$6+G17)*M17*9.81*(1-$H$4)/2)</f>
        <v>7931.8226518518513</v>
      </c>
      <c r="AD17" s="33">
        <f>($C$6+G17)*(1-$H$3)*D17*9.81*(1-H17)</f>
        <v>0</v>
      </c>
      <c r="AE17" s="33">
        <f>($C$6+G17)*9.81*(-M17*$C$7/$C$3/2-D17*$C$7/$C$4*(1-J17)+E17*(1-$H$3)/2)+K17*(1-$H$5)/2+L17*$C$11/$C$3/2</f>
        <v>4415.7366291185035</v>
      </c>
      <c r="AF17" s="43">
        <f t="shared" ref="AF17:AF23" si="6">IF($M17&gt;0,(AC17*$C$12),0)</f>
        <v>2761.8606473748146</v>
      </c>
    </row>
    <row r="18" spans="2:32" s="73" customFormat="1" x14ac:dyDescent="0.25">
      <c r="B18" s="64" t="s">
        <v>60</v>
      </c>
      <c r="C18" s="65">
        <v>0</v>
      </c>
      <c r="D18" s="66">
        <v>0</v>
      </c>
      <c r="E18" s="66">
        <v>5</v>
      </c>
      <c r="F18" s="67">
        <v>320</v>
      </c>
      <c r="G18" s="68">
        <v>80</v>
      </c>
      <c r="H18" s="69">
        <v>0.8</v>
      </c>
      <c r="I18" s="69">
        <v>0.65</v>
      </c>
      <c r="J18" s="110">
        <v>0.5</v>
      </c>
      <c r="K18" s="70">
        <f t="shared" ref="K18:K26" si="7">0.5*$C$10*$C$8*(F18/3.6)^2</f>
        <v>19518.024691358023</v>
      </c>
      <c r="L18" s="68">
        <f t="shared" ref="L18:L26" si="8">0.5*$C$10*$C$9*(F18/3.6)^2</f>
        <v>4665.2839506172841</v>
      </c>
      <c r="M18" s="71">
        <f>C18-(L18/($C$6+G18)/9.81)</f>
        <v>-0.38197920739981611</v>
      </c>
      <c r="N18" s="70">
        <f>MAX(0,($C$6+G18)*M18*9.81*$I$4/2)</f>
        <v>0</v>
      </c>
      <c r="O18" s="68">
        <f>($C$6+G18)*$I$3*D18*9.81*H18</f>
        <v>0</v>
      </c>
      <c r="P18" s="68">
        <f t="shared" ref="P18:P26" si="9">($C$6+G18)*9.81*(M18*$C$7/$C$3/2+D18*$C$7/$C$4*J18+E18*$I$3/2)+K18*$I$5/2-L18*$C$11/$C$3/2</f>
        <v>18533.047969990956</v>
      </c>
      <c r="Q18" s="72">
        <f t="shared" ref="Q18:Q26" si="10">IF($M18&gt;0,(N18*$C$12),0)</f>
        <v>0</v>
      </c>
      <c r="R18" s="68">
        <f t="shared" ref="R18:R26" si="11">MAX(0,($C$6+G18)*M18*9.81*$I$4/2)</f>
        <v>0</v>
      </c>
      <c r="S18" s="68">
        <f t="shared" ref="S18:S26" si="12">($C$6+G18)*$I$3*D18*9.81*(1-H18)</f>
        <v>0</v>
      </c>
      <c r="T18" s="68">
        <f t="shared" ref="T18:T26" si="13">($C$6+G18)*9.81*(M18*$C$7/$C$3/2-D18*$C$7/$C$4*J18+E18*$I$3/2)+K18*$I$5/2-L18*$C$11/$C$3/2</f>
        <v>18533.047969990956</v>
      </c>
      <c r="U18" s="72">
        <f t="shared" ref="U18:U26" si="14">IF($M18&gt;0,(R18*$C$12),0)</f>
        <v>0</v>
      </c>
      <c r="V18" s="70">
        <f t="shared" si="1"/>
        <v>-2332.641975308642</v>
      </c>
      <c r="W18" s="68">
        <f t="shared" si="2"/>
        <v>0</v>
      </c>
      <c r="X18" s="68">
        <f t="shared" si="3"/>
        <v>0</v>
      </c>
      <c r="Y18" s="68">
        <f t="shared" si="4"/>
        <v>23163.548742972005</v>
      </c>
      <c r="Z18" s="97">
        <f t="shared" ref="Z18:Z26" si="15">SQRT(W18^2+X18^2+Y18^2)</f>
        <v>23163.548742972005</v>
      </c>
      <c r="AA18" s="72">
        <f t="shared" si="5"/>
        <v>0</v>
      </c>
      <c r="AB18" s="70">
        <f>IF(M18&lt;0,($C$6+G18)*M18*9.81/2,0)</f>
        <v>-2332.641975308642</v>
      </c>
      <c r="AC18" s="68">
        <f>MAX(0,($C$6+G18)*M18*9.81*(1-$H$4)/2)</f>
        <v>0</v>
      </c>
      <c r="AD18" s="68">
        <f t="shared" ref="AD18:AD26" si="16">($C$6+G18)*(1-$H$3)*D18*9.81*(1-H18)</f>
        <v>0</v>
      </c>
      <c r="AE18" s="68">
        <f>($C$6+G18)*9.81*(-M18*$C$7/$C$3/2-D18*$C$7/$C$4*(1-J18)+E18*(1-$H$3)/2)+K18*(1-$H$5)/2+L18*$C$11/$C$3/2</f>
        <v>23163.548742972005</v>
      </c>
      <c r="AF18" s="72">
        <f t="shared" si="6"/>
        <v>0</v>
      </c>
    </row>
    <row r="19" spans="2:32" s="83" customFormat="1" x14ac:dyDescent="0.25">
      <c r="B19" s="74" t="s">
        <v>57</v>
      </c>
      <c r="C19" s="75">
        <v>1.5</v>
      </c>
      <c r="D19" s="76">
        <v>3.9</v>
      </c>
      <c r="E19" s="76">
        <v>3.8</v>
      </c>
      <c r="F19" s="77">
        <v>150</v>
      </c>
      <c r="G19" s="78">
        <v>80</v>
      </c>
      <c r="H19" s="79">
        <v>0.8</v>
      </c>
      <c r="I19" s="79">
        <v>0.65</v>
      </c>
      <c r="J19" s="111">
        <v>0.5</v>
      </c>
      <c r="K19" s="80">
        <f t="shared" si="7"/>
        <v>4288.6284722222217</v>
      </c>
      <c r="L19" s="78">
        <f t="shared" si="8"/>
        <v>1025.0868055555554</v>
      </c>
      <c r="M19" s="81">
        <f t="shared" ref="M19:M26" si="17">C19-(L19/($C$6+G19)/9.81)</f>
        <v>1.4160690218115639</v>
      </c>
      <c r="N19" s="80">
        <f t="shared" si="0"/>
        <v>5361.4773402777773</v>
      </c>
      <c r="O19" s="78">
        <f>($C$6+G19)*$I$3*D19*9.81*H19</f>
        <v>18100.332900000001</v>
      </c>
      <c r="P19" s="78">
        <f t="shared" si="9"/>
        <v>17100.352060781828</v>
      </c>
      <c r="Q19" s="82">
        <f t="shared" si="10"/>
        <v>1866.8664098847221</v>
      </c>
      <c r="R19" s="78">
        <f t="shared" si="11"/>
        <v>5361.4773402777773</v>
      </c>
      <c r="S19" s="78">
        <f t="shared" si="12"/>
        <v>4525.0832249999985</v>
      </c>
      <c r="T19" s="78">
        <f t="shared" si="13"/>
        <v>8466.0701876700441</v>
      </c>
      <c r="U19" s="82">
        <f t="shared" si="14"/>
        <v>1866.8664098847221</v>
      </c>
      <c r="V19" s="80">
        <f t="shared" si="1"/>
        <v>0</v>
      </c>
      <c r="W19" s="78">
        <f t="shared" si="2"/>
        <v>4150.8211666666666</v>
      </c>
      <c r="X19" s="78">
        <f t="shared" si="3"/>
        <v>21148.810020000001</v>
      </c>
      <c r="Y19" s="78">
        <f t="shared" si="4"/>
        <v>17687.18141024662</v>
      </c>
      <c r="Z19" s="97">
        <f t="shared" si="15"/>
        <v>27880.779541803957</v>
      </c>
      <c r="AA19" s="82">
        <f t="shared" si="5"/>
        <v>1445.3159302333333</v>
      </c>
      <c r="AB19" s="80">
        <f>IF(M19&lt;0,($C$6+G19)*M19*9.81/2,0)</f>
        <v>0</v>
      </c>
      <c r="AC19" s="78">
        <f>MAX(0,($C$6+G19)*M19*9.81*(1-$H$4)/2)</f>
        <v>4150.8211666666666</v>
      </c>
      <c r="AD19" s="78">
        <f t="shared" si="16"/>
        <v>5287.2025049999984</v>
      </c>
      <c r="AE19" s="78">
        <f>($C$6+G19)*9.81*(-M19*$C$7/$C$3/2-D19*$C$7/$C$4*(1-J19)+E19*(1-$H$3)/2)+K19*(1-$H$5)/2+L19*$C$11/$C$3/2</f>
        <v>9052.8995371348374</v>
      </c>
      <c r="AF19" s="82">
        <f t="shared" si="6"/>
        <v>1445.3159302333333</v>
      </c>
    </row>
    <row r="20" spans="2:32" s="83" customFormat="1" x14ac:dyDescent="0.25">
      <c r="B20" s="74" t="s">
        <v>59</v>
      </c>
      <c r="C20" s="75">
        <v>1.5</v>
      </c>
      <c r="D20" s="76">
        <v>3.9</v>
      </c>
      <c r="E20" s="76">
        <v>3.8</v>
      </c>
      <c r="F20" s="77">
        <v>150</v>
      </c>
      <c r="G20" s="78">
        <v>80</v>
      </c>
      <c r="H20" s="79">
        <v>0.8</v>
      </c>
      <c r="I20" s="79">
        <v>0.65</v>
      </c>
      <c r="J20" s="111">
        <v>0.5</v>
      </c>
      <c r="K20" s="80">
        <f t="shared" ref="K20" si="18">0.5*$C$10*$C$8*(F20/3.6)^2</f>
        <v>4288.6284722222217</v>
      </c>
      <c r="L20" s="78">
        <f t="shared" ref="L20" si="19">0.5*$C$10*$C$9*(F20/3.6)^2</f>
        <v>1025.0868055555554</v>
      </c>
      <c r="M20" s="81">
        <f t="shared" si="17"/>
        <v>1.4160690218115639</v>
      </c>
      <c r="N20" s="80">
        <f t="shared" ref="N20" si="20">MAX(0,($C$6+G20)*M20*9.81*$I$4/2)</f>
        <v>5361.4773402777773</v>
      </c>
      <c r="O20" s="78">
        <f t="shared" ref="O20" si="21">($C$6+G20)*$I$3*D20*9.81*H20</f>
        <v>18100.332900000001</v>
      </c>
      <c r="P20" s="78">
        <f t="shared" ref="P20" si="22">($C$6+G20)*9.81*(M20*$C$7/$C$3/2+D20*$C$7/$C$4*J20+E20*$I$3/2)+K20*$I$5/2-L20*$C$11/$C$3/2</f>
        <v>17100.352060781828</v>
      </c>
      <c r="Q20" s="82">
        <f t="shared" ref="Q20" si="23">IF($M20&gt;0,(N20*$C$12),0)</f>
        <v>1866.8664098847221</v>
      </c>
      <c r="R20" s="99"/>
      <c r="S20" s="99">
        <f t="shared" si="12"/>
        <v>4525.0832249999985</v>
      </c>
      <c r="T20" s="99"/>
      <c r="U20" s="100"/>
      <c r="V20" s="80">
        <f t="shared" si="1"/>
        <v>0</v>
      </c>
      <c r="W20" s="78">
        <f t="shared" si="2"/>
        <v>4150.8211666666666</v>
      </c>
      <c r="X20" s="78">
        <f t="shared" si="3"/>
        <v>21148.810020000001</v>
      </c>
      <c r="Y20" s="78">
        <f t="shared" si="4"/>
        <v>17687.18141024662</v>
      </c>
      <c r="Z20" s="97">
        <f>SQRT(W20^2+X20^2+Y20^2)</f>
        <v>27880.779541803957</v>
      </c>
      <c r="AA20" s="82">
        <f t="shared" si="5"/>
        <v>1445.3159302333333</v>
      </c>
      <c r="AB20" s="101"/>
      <c r="AC20" s="99"/>
      <c r="AD20" s="99">
        <f t="shared" si="16"/>
        <v>5287.2025049999984</v>
      </c>
      <c r="AE20" s="99"/>
      <c r="AF20" s="100"/>
    </row>
    <row r="21" spans="2:32" s="93" customFormat="1" x14ac:dyDescent="0.25">
      <c r="B21" s="84" t="s">
        <v>61</v>
      </c>
      <c r="C21" s="85">
        <v>0</v>
      </c>
      <c r="D21" s="86">
        <v>3</v>
      </c>
      <c r="E21" s="86">
        <v>1</v>
      </c>
      <c r="F21" s="87">
        <v>320</v>
      </c>
      <c r="G21" s="88">
        <v>80</v>
      </c>
      <c r="H21" s="89">
        <v>0.8</v>
      </c>
      <c r="I21" s="89">
        <v>0.65</v>
      </c>
      <c r="J21" s="112">
        <v>0.65</v>
      </c>
      <c r="K21" s="90">
        <f t="shared" si="7"/>
        <v>19518.024691358023</v>
      </c>
      <c r="L21" s="88">
        <f t="shared" si="8"/>
        <v>4665.2839506172841</v>
      </c>
      <c r="M21" s="91">
        <f t="shared" si="17"/>
        <v>-0.38197920739981611</v>
      </c>
      <c r="N21" s="90">
        <f t="shared" si="0"/>
        <v>0</v>
      </c>
      <c r="O21" s="88">
        <f t="shared" ref="O21:O26" si="24">($C$6+G21)*$I$3*D21*9.81*H21</f>
        <v>13923.333000000002</v>
      </c>
      <c r="P21" s="88">
        <f t="shared" si="9"/>
        <v>11247.411406546846</v>
      </c>
      <c r="Q21" s="92">
        <f t="shared" si="10"/>
        <v>0</v>
      </c>
      <c r="R21" s="88">
        <f t="shared" si="11"/>
        <v>0</v>
      </c>
      <c r="S21" s="88">
        <f t="shared" si="12"/>
        <v>3480.8332499999997</v>
      </c>
      <c r="T21" s="88">
        <f t="shared" si="13"/>
        <v>2613.1295334350657</v>
      </c>
      <c r="U21" s="92">
        <f t="shared" si="14"/>
        <v>0</v>
      </c>
      <c r="V21" s="90">
        <f t="shared" si="1"/>
        <v>-2332.641975308642</v>
      </c>
      <c r="W21" s="88">
        <f t="shared" si="2"/>
        <v>0</v>
      </c>
      <c r="X21" s="88">
        <f t="shared" si="3"/>
        <v>16268.315399999999</v>
      </c>
      <c r="Y21" s="88">
        <f t="shared" si="4"/>
        <v>11931.233593425179</v>
      </c>
      <c r="Z21" s="97">
        <f t="shared" si="15"/>
        <v>20174.548842904882</v>
      </c>
      <c r="AA21" s="92">
        <f t="shared" si="5"/>
        <v>0</v>
      </c>
      <c r="AB21" s="90">
        <f>IF(M21&lt;0,($C$6+G21)*M21*9.81/2,0)</f>
        <v>-2332.641975308642</v>
      </c>
      <c r="AC21" s="88">
        <f>MAX(0,($C$6+G21)*M21*9.81*(1-$H$4)/2)</f>
        <v>0</v>
      </c>
      <c r="AD21" s="88">
        <f t="shared" si="16"/>
        <v>4067.0788499999985</v>
      </c>
      <c r="AE21" s="88">
        <f t="shared" ref="AE21:AE26" si="25">($C$6+G21)*9.81*(-M21*$C$7/$C$3/2-D21*$C$7/$C$4*(1-J21)+E21*(1-$H$3)/2)+K21*(1-$H$5)/2+L21*$C$11/$C$3/2</f>
        <v>7282.0048925188339</v>
      </c>
      <c r="AF21" s="92">
        <f t="shared" si="6"/>
        <v>0</v>
      </c>
    </row>
    <row r="22" spans="2:32" s="93" customFormat="1" x14ac:dyDescent="0.25">
      <c r="B22" s="84" t="s">
        <v>56</v>
      </c>
      <c r="C22" s="85">
        <v>0.8</v>
      </c>
      <c r="D22" s="86">
        <v>4.0999999999999996</v>
      </c>
      <c r="E22" s="86">
        <v>2.8</v>
      </c>
      <c r="F22" s="87">
        <v>280</v>
      </c>
      <c r="G22" s="88">
        <v>80</v>
      </c>
      <c r="H22" s="89">
        <v>0.8</v>
      </c>
      <c r="I22" s="89">
        <v>0.65</v>
      </c>
      <c r="J22" s="112">
        <v>0.65</v>
      </c>
      <c r="K22" s="90">
        <f t="shared" si="7"/>
        <v>14943.487654320987</v>
      </c>
      <c r="L22" s="88">
        <f t="shared" si="8"/>
        <v>3571.858024691358</v>
      </c>
      <c r="M22" s="91">
        <f t="shared" si="17"/>
        <v>0.50754716933451594</v>
      </c>
      <c r="N22" s="90">
        <f t="shared" si="0"/>
        <v>1921.6596123456793</v>
      </c>
      <c r="O22" s="88">
        <f t="shared" si="24"/>
        <v>19028.555100000001</v>
      </c>
      <c r="P22" s="88">
        <f t="shared" si="9"/>
        <v>17573.937111975913</v>
      </c>
      <c r="Q22" s="92">
        <f t="shared" si="10"/>
        <v>669.12187701876553</v>
      </c>
      <c r="R22" s="88">
        <f t="shared" si="11"/>
        <v>1921.6596123456793</v>
      </c>
      <c r="S22" s="88">
        <f t="shared" si="12"/>
        <v>4757.1387749999994</v>
      </c>
      <c r="T22" s="88">
        <f t="shared" si="13"/>
        <v>5773.7518853898146</v>
      </c>
      <c r="U22" s="92">
        <f t="shared" si="14"/>
        <v>669.12187701876553</v>
      </c>
      <c r="V22" s="90">
        <f t="shared" si="1"/>
        <v>0</v>
      </c>
      <c r="W22" s="88">
        <f t="shared" si="2"/>
        <v>1487.7364740740743</v>
      </c>
      <c r="X22" s="88">
        <f t="shared" si="3"/>
        <v>22233.364379999999</v>
      </c>
      <c r="Y22" s="88">
        <f t="shared" si="4"/>
        <v>16960.254365454988</v>
      </c>
      <c r="Z22" s="97">
        <f t="shared" si="15"/>
        <v>28003.322653054551</v>
      </c>
      <c r="AA22" s="92">
        <f t="shared" si="5"/>
        <v>518.02984027259265</v>
      </c>
      <c r="AB22" s="90">
        <f>IF(M22&lt;0,($C$6+G22)*M22*9.81/2,0)</f>
        <v>0</v>
      </c>
      <c r="AC22" s="88">
        <f>MAX(0,($C$6+G22)*M22*9.81*(1-$H$4)/2)</f>
        <v>1487.7364740740743</v>
      </c>
      <c r="AD22" s="88">
        <f t="shared" si="16"/>
        <v>5558.3410949999979</v>
      </c>
      <c r="AE22" s="88">
        <f t="shared" si="25"/>
        <v>10606.308474216317</v>
      </c>
      <c r="AF22" s="92">
        <f t="shared" si="6"/>
        <v>518.02984027259265</v>
      </c>
    </row>
    <row r="23" spans="2:32" x14ac:dyDescent="0.25">
      <c r="B23" s="7" t="s">
        <v>28</v>
      </c>
      <c r="C23" s="113">
        <v>3</v>
      </c>
      <c r="D23" s="114">
        <v>2.5</v>
      </c>
      <c r="E23" s="114">
        <v>1</v>
      </c>
      <c r="F23" s="34">
        <v>320</v>
      </c>
      <c r="G23" s="27">
        <v>80</v>
      </c>
      <c r="H23" s="35">
        <v>0.75</v>
      </c>
      <c r="I23" s="35">
        <v>0.65</v>
      </c>
      <c r="J23" s="17">
        <v>0.65</v>
      </c>
      <c r="K23" s="29">
        <f t="shared" si="7"/>
        <v>19518.024691358023</v>
      </c>
      <c r="L23" s="30">
        <f t="shared" si="8"/>
        <v>4665.2839506172841</v>
      </c>
      <c r="M23" s="31">
        <f t="shared" si="17"/>
        <v>2.6180207926001837</v>
      </c>
      <c r="N23" s="29">
        <f t="shared" si="0"/>
        <v>9912.2704753086418</v>
      </c>
      <c r="O23" s="30">
        <f t="shared" si="24"/>
        <v>10877.60390625</v>
      </c>
      <c r="P23" s="30">
        <f t="shared" si="9"/>
        <v>12278.223108203667</v>
      </c>
      <c r="Q23" s="43">
        <f t="shared" si="10"/>
        <v>3451.4525795024692</v>
      </c>
      <c r="R23" s="30">
        <f t="shared" si="11"/>
        <v>9912.2704753086418</v>
      </c>
      <c r="S23" s="30">
        <f t="shared" si="12"/>
        <v>3625.8679687500003</v>
      </c>
      <c r="T23" s="30">
        <f t="shared" si="13"/>
        <v>5082.9882139438496</v>
      </c>
      <c r="U23" s="43">
        <f t="shared" si="14"/>
        <v>3451.4525795024692</v>
      </c>
      <c r="V23" s="29">
        <f t="shared" si="1"/>
        <v>0</v>
      </c>
      <c r="W23" s="30">
        <f t="shared" si="2"/>
        <v>7674.0158518518519</v>
      </c>
      <c r="X23" s="30">
        <f t="shared" si="3"/>
        <v>12709.621406249998</v>
      </c>
      <c r="Y23" s="30">
        <f t="shared" si="4"/>
        <v>9793.4626772668471</v>
      </c>
      <c r="Z23" s="97">
        <f t="shared" si="15"/>
        <v>17785.862554166451</v>
      </c>
      <c r="AA23" s="43">
        <f t="shared" si="5"/>
        <v>2672.0923196148151</v>
      </c>
      <c r="AB23" s="29">
        <f>IF(M23&lt;0,($C$6+G23)*M23*9.81/2,0)</f>
        <v>0</v>
      </c>
      <c r="AC23" s="30">
        <f>MAX(0,($C$6+G23)*M23*9.81*(1-$H$4)/2)</f>
        <v>7674.0158518518519</v>
      </c>
      <c r="AD23" s="30">
        <f t="shared" si="16"/>
        <v>4236.5404687499995</v>
      </c>
      <c r="AE23" s="30">
        <f t="shared" si="25"/>
        <v>5919.1054265115608</v>
      </c>
      <c r="AF23" s="43">
        <f t="shared" si="6"/>
        <v>2672.0923196148151</v>
      </c>
    </row>
    <row r="24" spans="2:32" x14ac:dyDescent="0.25">
      <c r="B24" s="7" t="s">
        <v>29</v>
      </c>
      <c r="C24" s="113">
        <v>-2.5</v>
      </c>
      <c r="D24" s="114">
        <v>0</v>
      </c>
      <c r="E24" s="114">
        <v>5</v>
      </c>
      <c r="F24" s="34">
        <v>0</v>
      </c>
      <c r="G24" s="27">
        <v>80</v>
      </c>
      <c r="H24" s="35">
        <v>0.5</v>
      </c>
      <c r="I24" s="35">
        <v>0.5</v>
      </c>
      <c r="J24" s="17">
        <v>0.5</v>
      </c>
      <c r="K24" s="29">
        <f t="shared" si="7"/>
        <v>0</v>
      </c>
      <c r="L24" s="30">
        <f t="shared" si="8"/>
        <v>0</v>
      </c>
      <c r="M24" s="31">
        <f t="shared" si="17"/>
        <v>-2.5</v>
      </c>
      <c r="N24" s="41">
        <f>($C$6+G24)*M24*9.81*$I$4/2</f>
        <v>-9465.4237499999999</v>
      </c>
      <c r="O24" s="30">
        <f t="shared" si="24"/>
        <v>0</v>
      </c>
      <c r="P24" s="30">
        <f t="shared" si="9"/>
        <v>13044.859215764332</v>
      </c>
      <c r="Q24" s="45">
        <f>(N24*$C$12)</f>
        <v>-3295.8605497500002</v>
      </c>
      <c r="R24" s="46">
        <f>($C$6+G24)*M24*9.81*$I$4/2</f>
        <v>-9465.4237499999999</v>
      </c>
      <c r="S24" s="30">
        <f t="shared" si="12"/>
        <v>0</v>
      </c>
      <c r="T24" s="30">
        <f t="shared" si="13"/>
        <v>13044.859215764332</v>
      </c>
      <c r="U24" s="45">
        <f>(R24*$C$12)</f>
        <v>-3295.8605497500002</v>
      </c>
      <c r="V24" s="29"/>
      <c r="W24" s="46">
        <f>($C$6+G24)*M24*9.81*(1-$H$4)/2</f>
        <v>-7328.07</v>
      </c>
      <c r="X24" s="30">
        <f t="shared" si="3"/>
        <v>0</v>
      </c>
      <c r="Y24" s="30">
        <f t="shared" si="4"/>
        <v>18404.774534235665</v>
      </c>
      <c r="Z24" s="97">
        <f t="shared" si="15"/>
        <v>19810.005946009951</v>
      </c>
      <c r="AA24" s="45">
        <f>(W24*$C$12)</f>
        <v>-2551.6339739999999</v>
      </c>
      <c r="AB24" s="29"/>
      <c r="AC24" s="46">
        <f>($C$6+G24)*M24*9.81*(1-$H$4)/2</f>
        <v>-7328.07</v>
      </c>
      <c r="AD24" s="30">
        <f t="shared" si="16"/>
        <v>0</v>
      </c>
      <c r="AE24" s="30">
        <f t="shared" si="25"/>
        <v>18404.774534235665</v>
      </c>
      <c r="AF24" s="45">
        <f>(AC24*$C$12)</f>
        <v>-2551.6339739999999</v>
      </c>
    </row>
    <row r="25" spans="2:32" x14ac:dyDescent="0.25">
      <c r="B25" s="7" t="s">
        <v>30</v>
      </c>
      <c r="C25" s="113">
        <v>-1.6</v>
      </c>
      <c r="D25" s="114">
        <v>0</v>
      </c>
      <c r="E25" s="114">
        <v>1</v>
      </c>
      <c r="F25" s="34">
        <v>150</v>
      </c>
      <c r="G25" s="27">
        <v>80</v>
      </c>
      <c r="H25" s="35">
        <v>0.5</v>
      </c>
      <c r="I25" s="35">
        <v>0.5</v>
      </c>
      <c r="J25" s="17">
        <v>0.5</v>
      </c>
      <c r="K25" s="29">
        <f t="shared" si="7"/>
        <v>4288.6284722222217</v>
      </c>
      <c r="L25" s="30">
        <f t="shared" si="8"/>
        <v>1025.0868055555554</v>
      </c>
      <c r="M25" s="31">
        <f t="shared" si="17"/>
        <v>-1.6839309781884362</v>
      </c>
      <c r="N25" s="29">
        <f>MAX(0,($C$6+G25)*M25*9.81*$I$4/2)</f>
        <v>0</v>
      </c>
      <c r="O25" s="30">
        <f t="shared" si="24"/>
        <v>0</v>
      </c>
      <c r="P25" s="30">
        <f t="shared" si="9"/>
        <v>2852.5871767737085</v>
      </c>
      <c r="Q25" s="43">
        <f t="shared" si="10"/>
        <v>0</v>
      </c>
      <c r="R25" s="30">
        <f t="shared" si="11"/>
        <v>0</v>
      </c>
      <c r="S25" s="30">
        <f t="shared" si="12"/>
        <v>0</v>
      </c>
      <c r="T25" s="30">
        <f t="shared" si="13"/>
        <v>2852.5871767737085</v>
      </c>
      <c r="U25" s="43">
        <f t="shared" si="14"/>
        <v>0</v>
      </c>
      <c r="V25" s="29">
        <f>IF(M25&lt;0,($C$6+G25)*M25*9.81/2,0)</f>
        <v>-10283.303402777779</v>
      </c>
      <c r="W25" s="30">
        <f>MAX(0,($C$6+G25)*M25*9.81*(1-$H$4)/2)</f>
        <v>0</v>
      </c>
      <c r="X25" s="30">
        <f t="shared" si="3"/>
        <v>0</v>
      </c>
      <c r="Y25" s="30">
        <f t="shared" si="4"/>
        <v>5688.8695211429576</v>
      </c>
      <c r="Z25" s="97">
        <f t="shared" si="15"/>
        <v>5688.8695211429576</v>
      </c>
      <c r="AA25" s="43">
        <f>IF($M25&gt;0,(W25*$C$12),0)</f>
        <v>0</v>
      </c>
      <c r="AB25" s="29">
        <f>IF(M25&lt;0,($C$6+G25)*M25*9.81/2,0)</f>
        <v>-10283.303402777779</v>
      </c>
      <c r="AC25" s="30">
        <f>MAX(0,($C$6+G25)*M25*9.81*(1-$H$4)/2)</f>
        <v>0</v>
      </c>
      <c r="AD25" s="30">
        <f t="shared" si="16"/>
        <v>0</v>
      </c>
      <c r="AE25" s="30">
        <f t="shared" si="25"/>
        <v>5688.8695211429576</v>
      </c>
      <c r="AF25" s="43">
        <f>IF($M25&gt;0,(AC25*$C$12),0)</f>
        <v>0</v>
      </c>
    </row>
    <row r="26" spans="2:32" x14ac:dyDescent="0.25">
      <c r="B26" s="8" t="s">
        <v>31</v>
      </c>
      <c r="C26" s="115">
        <v>-2</v>
      </c>
      <c r="D26" s="116">
        <v>0</v>
      </c>
      <c r="E26" s="116">
        <v>5</v>
      </c>
      <c r="F26" s="16">
        <v>150</v>
      </c>
      <c r="G26" s="38">
        <v>80</v>
      </c>
      <c r="H26" s="18">
        <v>0.5</v>
      </c>
      <c r="I26" s="18">
        <v>0.5</v>
      </c>
      <c r="J26" s="19">
        <v>0.5</v>
      </c>
      <c r="K26" s="39">
        <f t="shared" si="7"/>
        <v>4288.6284722222217</v>
      </c>
      <c r="L26" s="38">
        <f t="shared" si="8"/>
        <v>1025.0868055555554</v>
      </c>
      <c r="M26" s="40">
        <f t="shared" si="17"/>
        <v>-2.0839309781884361</v>
      </c>
      <c r="N26" s="39">
        <f>MAX(0,($C$6+G26)*M26*9.81*$I$4/2)</f>
        <v>0</v>
      </c>
      <c r="O26" s="38">
        <f t="shared" si="24"/>
        <v>0</v>
      </c>
      <c r="P26" s="38">
        <f t="shared" si="9"/>
        <v>14221.986651296003</v>
      </c>
      <c r="Q26" s="44">
        <f t="shared" si="10"/>
        <v>0</v>
      </c>
      <c r="R26" s="38">
        <f t="shared" si="11"/>
        <v>0</v>
      </c>
      <c r="S26" s="38">
        <f t="shared" si="12"/>
        <v>0</v>
      </c>
      <c r="T26" s="38">
        <f t="shared" si="13"/>
        <v>14221.986651296003</v>
      </c>
      <c r="U26" s="44">
        <f t="shared" si="14"/>
        <v>0</v>
      </c>
      <c r="V26" s="39">
        <f>IF(M26&lt;0,($C$6+G26)*M26*9.81/2,0)</f>
        <v>-12725.993402777778</v>
      </c>
      <c r="W26" s="38">
        <f>MAX(0,($C$6+G26)*M26*9.81*(1-$H$4)/2)</f>
        <v>0</v>
      </c>
      <c r="X26" s="38">
        <f t="shared" si="3"/>
        <v>0</v>
      </c>
      <c r="Y26" s="38">
        <f t="shared" si="4"/>
        <v>19479.177046620665</v>
      </c>
      <c r="Z26" s="98">
        <f t="shared" si="15"/>
        <v>19479.177046620665</v>
      </c>
      <c r="AA26" s="44">
        <f>IF($M26&gt;0,(W26*$C$12),0)</f>
        <v>0</v>
      </c>
      <c r="AB26" s="29">
        <f>IF(M26&lt;0,($C$6+G26)*M26*9.81/2,0)</f>
        <v>-12725.993402777778</v>
      </c>
      <c r="AC26" s="30">
        <f>MAX(0,($C$6+G26)*M26*9.81*(1-$H$4)/2)</f>
        <v>0</v>
      </c>
      <c r="AD26" s="38">
        <f t="shared" si="16"/>
        <v>0</v>
      </c>
      <c r="AE26" s="38">
        <f t="shared" si="25"/>
        <v>19479.177046620665</v>
      </c>
      <c r="AF26" s="44">
        <f>IF($M26&gt;0,(AC26*$C$12),0)</f>
        <v>0</v>
      </c>
    </row>
    <row r="27" spans="2:32" x14ac:dyDescent="0.25">
      <c r="V27" s="94" t="s">
        <v>54</v>
      </c>
      <c r="W27" s="3"/>
      <c r="AB27" s="56" t="s">
        <v>54</v>
      </c>
      <c r="AC27" s="55"/>
    </row>
    <row r="28" spans="2:32" x14ac:dyDescent="0.25">
      <c r="B28" t="s">
        <v>48</v>
      </c>
      <c r="V28" s="54">
        <f>-MIN(V17:V26)*$C$13</f>
        <v>4431.1909028472228</v>
      </c>
      <c r="W28" s="6" t="s">
        <v>55</v>
      </c>
      <c r="AB28" s="54">
        <f>-MIN(AB17:AB26)*$C$13</f>
        <v>4431.1909028472228</v>
      </c>
      <c r="AC28" s="6" t="s">
        <v>55</v>
      </c>
    </row>
    <row r="29" spans="2:32" x14ac:dyDescent="0.25">
      <c r="B29" t="s">
        <v>49</v>
      </c>
      <c r="P29" s="49"/>
    </row>
    <row r="30" spans="2:32" x14ac:dyDescent="0.25">
      <c r="P30" s="49"/>
      <c r="Q30" s="49"/>
    </row>
    <row r="31" spans="2:32" x14ac:dyDescent="0.25">
      <c r="P31" s="49"/>
      <c r="Q31" s="49"/>
    </row>
    <row r="34" spans="16:17" x14ac:dyDescent="0.25">
      <c r="P34" s="49"/>
    </row>
    <row r="35" spans="16:17" x14ac:dyDescent="0.25">
      <c r="P35" s="49"/>
      <c r="Q35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3C19-F55E-4199-B368-F456885A81D9}">
  <dimension ref="A2:AF27"/>
  <sheetViews>
    <sheetView showGridLines="0" zoomScale="70" zoomScaleNormal="70" workbookViewId="0">
      <selection activeCell="B17" sqref="B17:E23"/>
    </sheetView>
  </sheetViews>
  <sheetFormatPr defaultRowHeight="15" x14ac:dyDescent="0.25"/>
  <cols>
    <col min="1" max="1" width="3.7109375" customWidth="1"/>
    <col min="2" max="2" width="37.42578125" customWidth="1"/>
    <col min="7" max="7" width="11.140625" customWidth="1"/>
    <col min="8" max="8" width="10.7109375" customWidth="1"/>
    <col min="9" max="9" width="10.42578125" customWidth="1"/>
    <col min="10" max="10" width="13" customWidth="1"/>
    <col min="11" max="11" width="10.7109375" hidden="1" customWidth="1"/>
    <col min="12" max="12" width="0" hidden="1" customWidth="1"/>
    <col min="13" max="13" width="9.85546875" hidden="1" customWidth="1"/>
  </cols>
  <sheetData>
    <row r="2" spans="2:32" x14ac:dyDescent="0.25">
      <c r="B2" s="12" t="s">
        <v>0</v>
      </c>
      <c r="C2" s="10"/>
      <c r="D2" s="11"/>
      <c r="F2" s="12" t="s">
        <v>13</v>
      </c>
      <c r="G2" s="10"/>
      <c r="H2" s="13" t="s">
        <v>17</v>
      </c>
      <c r="I2" s="14" t="s">
        <v>18</v>
      </c>
    </row>
    <row r="3" spans="2:32" x14ac:dyDescent="0.25">
      <c r="B3" s="1" t="s">
        <v>1</v>
      </c>
      <c r="C3" s="15">
        <v>3.14</v>
      </c>
      <c r="D3" s="3" t="s">
        <v>9</v>
      </c>
      <c r="F3" s="1" t="s">
        <v>14</v>
      </c>
      <c r="G3" s="2"/>
      <c r="H3" s="15">
        <v>0.44500000000000001</v>
      </c>
      <c r="I3" s="17">
        <v>0.47499999999999998</v>
      </c>
    </row>
    <row r="4" spans="2:32" x14ac:dyDescent="0.25">
      <c r="B4" s="1" t="s">
        <v>2</v>
      </c>
      <c r="C4" s="15">
        <v>1.655</v>
      </c>
      <c r="D4" s="3" t="s">
        <v>9</v>
      </c>
      <c r="F4" s="1" t="s">
        <v>15</v>
      </c>
      <c r="G4" s="2"/>
      <c r="H4" s="15">
        <v>0.52</v>
      </c>
      <c r="I4" s="17">
        <v>0.62</v>
      </c>
    </row>
    <row r="5" spans="2:32" x14ac:dyDescent="0.25">
      <c r="B5" s="1" t="s">
        <v>3</v>
      </c>
      <c r="C5" s="15">
        <v>1.611</v>
      </c>
      <c r="D5" s="3" t="s">
        <v>9</v>
      </c>
      <c r="F5" s="4" t="s">
        <v>16</v>
      </c>
      <c r="G5" s="5"/>
      <c r="H5" s="18">
        <v>0.42</v>
      </c>
      <c r="I5" s="19">
        <v>0.47</v>
      </c>
    </row>
    <row r="6" spans="2:32" x14ac:dyDescent="0.25">
      <c r="B6" s="1" t="s">
        <v>12</v>
      </c>
      <c r="C6" s="15">
        <v>1165</v>
      </c>
      <c r="D6" s="3" t="s">
        <v>10</v>
      </c>
    </row>
    <row r="7" spans="2:32" x14ac:dyDescent="0.25">
      <c r="B7" s="1" t="s">
        <v>21</v>
      </c>
      <c r="C7" s="42">
        <v>0.3</v>
      </c>
      <c r="D7" s="3" t="s">
        <v>9</v>
      </c>
      <c r="F7" s="103"/>
    </row>
    <row r="8" spans="2:32" x14ac:dyDescent="0.25">
      <c r="B8" s="1" t="s">
        <v>5</v>
      </c>
      <c r="C8" s="87">
        <v>4.0999999999999996</v>
      </c>
      <c r="D8" s="3" t="s">
        <v>11</v>
      </c>
    </row>
    <row r="9" spans="2:32" x14ac:dyDescent="0.25">
      <c r="B9" s="1" t="s">
        <v>6</v>
      </c>
      <c r="C9" s="87">
        <v>0.98</v>
      </c>
      <c r="D9" s="3" t="s">
        <v>11</v>
      </c>
    </row>
    <row r="10" spans="2:32" x14ac:dyDescent="0.25">
      <c r="B10" s="1" t="s">
        <v>19</v>
      </c>
      <c r="C10" s="15">
        <v>1.2050000000000001</v>
      </c>
      <c r="D10" s="3" t="s">
        <v>20</v>
      </c>
    </row>
    <row r="11" spans="2:32" x14ac:dyDescent="0.25">
      <c r="B11" s="61" t="s">
        <v>4</v>
      </c>
      <c r="C11" s="62">
        <v>0.45</v>
      </c>
      <c r="D11" s="63" t="s">
        <v>9</v>
      </c>
    </row>
    <row r="12" spans="2:32" x14ac:dyDescent="0.25">
      <c r="B12" s="1" t="s">
        <v>8</v>
      </c>
      <c r="C12" s="15">
        <v>0.34820000000000001</v>
      </c>
      <c r="D12" s="3" t="s">
        <v>9</v>
      </c>
    </row>
    <row r="13" spans="2:32" x14ac:dyDescent="0.25">
      <c r="B13" s="4" t="s">
        <v>7</v>
      </c>
      <c r="C13" s="16">
        <v>0.34820000000000001</v>
      </c>
      <c r="D13" s="6" t="s">
        <v>9</v>
      </c>
    </row>
    <row r="14" spans="2:32" x14ac:dyDescent="0.25">
      <c r="B14" s="2"/>
      <c r="C14" s="15"/>
      <c r="D14" s="2"/>
    </row>
    <row r="15" spans="2:32" x14ac:dyDescent="0.25">
      <c r="B15" s="161" t="s">
        <v>119</v>
      </c>
    </row>
    <row r="16" spans="2:32" x14ac:dyDescent="0.25">
      <c r="N16" s="12" t="s">
        <v>46</v>
      </c>
      <c r="O16" s="10"/>
      <c r="P16" s="10"/>
      <c r="Q16" s="11"/>
      <c r="R16" s="12" t="s">
        <v>47</v>
      </c>
      <c r="S16" s="10"/>
      <c r="T16" s="10"/>
      <c r="U16" s="11"/>
      <c r="V16" s="12" t="s">
        <v>51</v>
      </c>
      <c r="W16" s="10"/>
      <c r="X16" s="102" t="s">
        <v>62</v>
      </c>
      <c r="Y16" s="10"/>
      <c r="Z16" s="10"/>
      <c r="AA16" s="11"/>
      <c r="AB16" s="12" t="s">
        <v>52</v>
      </c>
      <c r="AC16" s="10"/>
      <c r="AD16" s="102" t="s">
        <v>63</v>
      </c>
      <c r="AE16" s="10"/>
      <c r="AF16" s="11"/>
    </row>
    <row r="17" spans="1:32" x14ac:dyDescent="0.25">
      <c r="B17" s="9" t="s">
        <v>22</v>
      </c>
      <c r="C17" s="20" t="s">
        <v>32</v>
      </c>
      <c r="D17" s="21" t="s">
        <v>33</v>
      </c>
      <c r="E17" s="22" t="s">
        <v>34</v>
      </c>
      <c r="F17" s="21" t="s">
        <v>40</v>
      </c>
      <c r="G17" s="21" t="s">
        <v>41</v>
      </c>
      <c r="H17" s="21" t="s">
        <v>35</v>
      </c>
      <c r="I17" s="21" t="s">
        <v>36</v>
      </c>
      <c r="J17" s="21" t="s">
        <v>50</v>
      </c>
      <c r="K17" s="23" t="s">
        <v>37</v>
      </c>
      <c r="L17" s="24" t="s">
        <v>38</v>
      </c>
      <c r="M17" s="24" t="s">
        <v>39</v>
      </c>
      <c r="N17" s="47" t="s">
        <v>42</v>
      </c>
      <c r="O17" s="48" t="s">
        <v>43</v>
      </c>
      <c r="P17" s="50" t="s">
        <v>44</v>
      </c>
      <c r="Q17" s="51" t="s">
        <v>45</v>
      </c>
      <c r="R17" s="47" t="s">
        <v>42</v>
      </c>
      <c r="S17" s="48" t="s">
        <v>43</v>
      </c>
      <c r="T17" s="50" t="s">
        <v>44</v>
      </c>
      <c r="U17" s="51" t="s">
        <v>45</v>
      </c>
      <c r="V17" s="52" t="s">
        <v>53</v>
      </c>
      <c r="W17" s="48" t="s">
        <v>42</v>
      </c>
      <c r="X17" s="16" t="s">
        <v>43</v>
      </c>
      <c r="Y17" s="48" t="s">
        <v>44</v>
      </c>
      <c r="Z17" s="96" t="s">
        <v>58</v>
      </c>
      <c r="AA17" s="19" t="s">
        <v>45</v>
      </c>
      <c r="AB17" s="52" t="s">
        <v>53</v>
      </c>
      <c r="AC17" s="53" t="s">
        <v>42</v>
      </c>
      <c r="AD17" s="21" t="s">
        <v>43</v>
      </c>
      <c r="AE17" s="21" t="s">
        <v>44</v>
      </c>
      <c r="AF17" s="22" t="s">
        <v>45</v>
      </c>
    </row>
    <row r="18" spans="1:32" x14ac:dyDescent="0.25">
      <c r="B18" s="117" t="s">
        <v>66</v>
      </c>
      <c r="C18" s="119">
        <v>3.5</v>
      </c>
      <c r="D18" s="120">
        <v>0</v>
      </c>
      <c r="E18" s="121">
        <v>0</v>
      </c>
      <c r="F18" s="106">
        <v>320</v>
      </c>
      <c r="G18" s="107">
        <v>0</v>
      </c>
      <c r="H18" s="108">
        <v>0.5</v>
      </c>
      <c r="I18" s="108">
        <v>0.5</v>
      </c>
      <c r="J18" s="109">
        <v>0.5</v>
      </c>
      <c r="K18" s="29">
        <f>0.5*$C$10*$C$8*(F18/3.6)^2</f>
        <v>19518.024691358023</v>
      </c>
      <c r="L18" s="30">
        <f>0.5*$C$10*$C$9*(F18/3.6)^2</f>
        <v>4665.2839506172841</v>
      </c>
      <c r="M18" s="31">
        <f>C18-(L18/($C$6+G18)/9.81)</f>
        <v>3.0917904607615698</v>
      </c>
      <c r="N18" s="32">
        <f t="shared" ref="N18:N22" si="0">MAX(0,($C$6+G18)*M18*9.81*$I$4/2)</f>
        <v>10953.847225308642</v>
      </c>
      <c r="O18" s="33">
        <f>($C$6+G18)*$I$3*D18*9.81*H18</f>
        <v>0</v>
      </c>
      <c r="P18" s="33">
        <f>($C$6+G18)*9.81*(M18*$C$7/$C$3/2+D18*$C$7/$C$4*J18+E18*$I$3/2)+K18*$I$5/2-L18*$C$11/$C$3/2</f>
        <v>5940.4172574113391</v>
      </c>
      <c r="Q18" s="43">
        <f>IF($M18&gt;0,(N18*$C$12),0)</f>
        <v>3814.1296038524692</v>
      </c>
      <c r="R18" s="33">
        <f>MAX(0,($C$6+G18)*M18*9.81*$I$4/2)</f>
        <v>10953.847225308642</v>
      </c>
      <c r="S18" s="33">
        <f>($C$6+G18)*$I$3*D18*9.81*(1-H18)</f>
        <v>0</v>
      </c>
      <c r="T18" s="33">
        <f>($C$6+G18)*9.81*(M18*$C$7/$C$3/2-D18*$C$7/$C$4*J18+E18*$I$3/2)+K18*$I$5/2-L18*$C$11/$C$3/2</f>
        <v>5940.4172574113391</v>
      </c>
      <c r="U18" s="43">
        <f>IF($M18&gt;0,(R18*$C$12),0)</f>
        <v>3814.1296038524692</v>
      </c>
      <c r="V18" s="29">
        <f t="shared" ref="V18:V22" si="1">IF(M18&lt;0,($C$6+G18)*M18*9.81/2,0)</f>
        <v>0</v>
      </c>
      <c r="W18" s="33">
        <f t="shared" ref="W18:W22" si="2">MAX(0,($C$6+G18)*M18*9.81*(1-$H$4)/2)</f>
        <v>8480.3978518518525</v>
      </c>
      <c r="X18" s="33">
        <f t="shared" ref="X18:X23" si="3">($C$6+G18)*(1-$H$3)*D18*9.81*H18</f>
        <v>0</v>
      </c>
      <c r="Y18" s="33">
        <f t="shared" ref="Y18:Y23" si="4">($C$6+G18)*9.81*(-M18*$C$7/$C$3/2+D18*$C$7/$C$4*(1-J18)+E18*(1-$H$3)/2)+K18*(1-$H$5)/2+L18*$C$11/$C$3/2</f>
        <v>4306.5457055516235</v>
      </c>
      <c r="Z18" s="97">
        <f>SQRT(W18^2+X18^2+Y18^2)</f>
        <v>9511.2293442908122</v>
      </c>
      <c r="AA18" s="43">
        <f t="shared" ref="AA18:AA22" si="5">IF($M18&gt;0,(W18*$C$12),0)</f>
        <v>2952.874532014815</v>
      </c>
      <c r="AB18" s="29">
        <f>IF(M18&lt;0,($C$6+G18)*M18*9.81/2,0)</f>
        <v>0</v>
      </c>
      <c r="AC18" s="33">
        <f>MAX(0,($C$6+G18)*M18*9.81*(1-$H$4)/2)</f>
        <v>8480.3978518518525</v>
      </c>
      <c r="AD18" s="33">
        <f>($C$6+G18)*(1-$H$3)*D18*9.81*(1-H18)</f>
        <v>0</v>
      </c>
      <c r="AE18" s="33">
        <f>($C$6+G18)*9.81*(-M18*$C$7/$C$3/2-D18*$C$7/$C$4*(1-J18)+E18*(1-$H$3)/2)+K18*(1-$H$5)/2+L18*$C$11/$C$3/2</f>
        <v>4306.5457055516235</v>
      </c>
      <c r="AF18" s="43">
        <f t="shared" ref="AF18:AF22" si="6">IF($M18&gt;0,(AC18*$C$12),0)</f>
        <v>2952.874532014815</v>
      </c>
    </row>
    <row r="19" spans="1:32" s="170" customFormat="1" x14ac:dyDescent="0.25">
      <c r="A19" s="118"/>
      <c r="B19" s="126" t="s">
        <v>65</v>
      </c>
      <c r="C19" s="113">
        <v>0</v>
      </c>
      <c r="D19" s="114">
        <v>0</v>
      </c>
      <c r="E19" s="122">
        <v>5</v>
      </c>
      <c r="F19" s="162">
        <v>320</v>
      </c>
      <c r="G19" s="163">
        <v>80</v>
      </c>
      <c r="H19" s="164">
        <v>0.8</v>
      </c>
      <c r="I19" s="164">
        <v>0.65</v>
      </c>
      <c r="J19" s="165">
        <v>0.5</v>
      </c>
      <c r="K19" s="166">
        <f t="shared" ref="K19:K23" si="7">0.5*$C$10*$C$8*(F19/3.6)^2</f>
        <v>19518.024691358023</v>
      </c>
      <c r="L19" s="163">
        <f t="shared" ref="L19:L23" si="8">0.5*$C$10*$C$9*(F19/3.6)^2</f>
        <v>4665.2839506172841</v>
      </c>
      <c r="M19" s="167">
        <f>C19-(L19/($C$6+G19)/9.81)</f>
        <v>-0.38197920739981611</v>
      </c>
      <c r="N19" s="166">
        <f>MAX(0,($C$6+G19)*M19*9.81*$I$4/2)</f>
        <v>0</v>
      </c>
      <c r="O19" s="163">
        <f>($C$6+G19)*$I$3*D19*9.81*H19</f>
        <v>0</v>
      </c>
      <c r="P19" s="163">
        <f t="shared" ref="P19:P23" si="9">($C$6+G19)*9.81*(M19*$C$7/$C$3/2+D19*$C$7/$C$4*J19+E19*$I$3/2)+K19*$I$5/2-L19*$C$11/$C$3/2</f>
        <v>18533.047969990956</v>
      </c>
      <c r="Q19" s="168">
        <f t="shared" ref="Q19:Q23" si="10">IF($M19&gt;0,(N19*$C$12),0)</f>
        <v>0</v>
      </c>
      <c r="R19" s="163">
        <f t="shared" ref="R19:R23" si="11">MAX(0,($C$6+G19)*M19*9.81*$I$4/2)</f>
        <v>0</v>
      </c>
      <c r="S19" s="163">
        <f t="shared" ref="S19:S23" si="12">($C$6+G19)*$I$3*D19*9.81*(1-H19)</f>
        <v>0</v>
      </c>
      <c r="T19" s="163">
        <f t="shared" ref="T19:T23" si="13">($C$6+G19)*9.81*(M19*$C$7/$C$3/2-D19*$C$7/$C$4*J19+E19*$I$3/2)+K19*$I$5/2-L19*$C$11/$C$3/2</f>
        <v>18533.047969990956</v>
      </c>
      <c r="U19" s="168">
        <f t="shared" ref="U19:U23" si="14">IF($M19&gt;0,(R19*$C$12),0)</f>
        <v>0</v>
      </c>
      <c r="V19" s="166">
        <f t="shared" si="1"/>
        <v>-2332.641975308642</v>
      </c>
      <c r="W19" s="163">
        <f t="shared" si="2"/>
        <v>0</v>
      </c>
      <c r="X19" s="163">
        <f t="shared" si="3"/>
        <v>0</v>
      </c>
      <c r="Y19" s="163">
        <f t="shared" si="4"/>
        <v>23163.548742972005</v>
      </c>
      <c r="Z19" s="169">
        <f t="shared" ref="Z19:Z23" si="15">SQRT(W19^2+X19^2+Y19^2)</f>
        <v>23163.548742972005</v>
      </c>
      <c r="AA19" s="168">
        <f t="shared" si="5"/>
        <v>0</v>
      </c>
      <c r="AB19" s="166">
        <f>IF(M19&lt;0,($C$6+G19)*M19*9.81/2,0)</f>
        <v>-2332.641975308642</v>
      </c>
      <c r="AC19" s="163">
        <f>MAX(0,($C$6+G19)*M19*9.81*(1-$H$4)/2)</f>
        <v>0</v>
      </c>
      <c r="AD19" s="163">
        <f t="shared" ref="AD19:AD23" si="16">($C$6+G19)*(1-$H$3)*D19*9.81*(1-H19)</f>
        <v>0</v>
      </c>
      <c r="AE19" s="163">
        <f>($C$6+G19)*9.81*(-M19*$C$7/$C$3/2-D19*$C$7/$C$4*(1-J19)+E19*(1-$H$3)/2)+K19*(1-$H$5)/2+L19*$C$11/$C$3/2</f>
        <v>23163.548742972005</v>
      </c>
      <c r="AF19" s="168">
        <f t="shared" si="6"/>
        <v>0</v>
      </c>
    </row>
    <row r="20" spans="1:32" s="179" customFormat="1" x14ac:dyDescent="0.25">
      <c r="A20" s="118"/>
      <c r="B20" s="127" t="s">
        <v>67</v>
      </c>
      <c r="C20" s="119">
        <v>1.5</v>
      </c>
      <c r="D20" s="120">
        <v>3.9</v>
      </c>
      <c r="E20" s="121">
        <v>3.8</v>
      </c>
      <c r="F20" s="171">
        <v>150</v>
      </c>
      <c r="G20" s="172">
        <v>80</v>
      </c>
      <c r="H20" s="173">
        <v>0.8</v>
      </c>
      <c r="I20" s="173">
        <v>0.65</v>
      </c>
      <c r="J20" s="174">
        <v>0.5</v>
      </c>
      <c r="K20" s="175">
        <f t="shared" si="7"/>
        <v>4288.6284722222217</v>
      </c>
      <c r="L20" s="172">
        <f t="shared" si="8"/>
        <v>1025.0868055555554</v>
      </c>
      <c r="M20" s="176">
        <f t="shared" ref="M20:M23" si="17">C20-(L20/($C$6+G20)/9.81)</f>
        <v>1.4160690218115639</v>
      </c>
      <c r="N20" s="175">
        <f t="shared" si="0"/>
        <v>5361.4773402777773</v>
      </c>
      <c r="O20" s="172">
        <f>($C$6+G20)*$I$3*D20*9.81*H20</f>
        <v>18100.332900000001</v>
      </c>
      <c r="P20" s="172">
        <f t="shared" si="9"/>
        <v>17100.352060781828</v>
      </c>
      <c r="Q20" s="177">
        <f t="shared" si="10"/>
        <v>1866.8664098847221</v>
      </c>
      <c r="R20" s="172">
        <f t="shared" si="11"/>
        <v>5361.4773402777773</v>
      </c>
      <c r="S20" s="172">
        <f t="shared" si="12"/>
        <v>4525.0832249999985</v>
      </c>
      <c r="T20" s="172">
        <f t="shared" si="13"/>
        <v>8466.0701876700441</v>
      </c>
      <c r="U20" s="177">
        <f t="shared" si="14"/>
        <v>1866.8664098847221</v>
      </c>
      <c r="V20" s="175">
        <f t="shared" si="1"/>
        <v>0</v>
      </c>
      <c r="W20" s="172">
        <f t="shared" si="2"/>
        <v>4150.8211666666666</v>
      </c>
      <c r="X20" s="172">
        <f t="shared" si="3"/>
        <v>21148.810020000001</v>
      </c>
      <c r="Y20" s="172">
        <f t="shared" si="4"/>
        <v>17687.18141024662</v>
      </c>
      <c r="Z20" s="178">
        <f t="shared" si="15"/>
        <v>27880.779541803957</v>
      </c>
      <c r="AA20" s="177">
        <f t="shared" si="5"/>
        <v>1445.3159302333333</v>
      </c>
      <c r="AB20" s="175">
        <f>IF(M20&lt;0,($C$6+G20)*M20*9.81/2,0)</f>
        <v>0</v>
      </c>
      <c r="AC20" s="172">
        <f>MAX(0,($C$6+G20)*M20*9.81*(1-$H$4)/2)</f>
        <v>4150.8211666666666</v>
      </c>
      <c r="AD20" s="172">
        <f t="shared" si="16"/>
        <v>5287.2025049999984</v>
      </c>
      <c r="AE20" s="172">
        <f>($C$6+G20)*9.81*(-M20*$C$7/$C$3/2-D20*$C$7/$C$4*(1-J20)+E20*(1-$H$3)/2)+K20*(1-$H$5)/2+L20*$C$11/$C$3/2</f>
        <v>9052.8995371348374</v>
      </c>
      <c r="AF20" s="177">
        <f t="shared" si="6"/>
        <v>1445.3159302333333</v>
      </c>
    </row>
    <row r="21" spans="1:32" s="188" customFormat="1" x14ac:dyDescent="0.25">
      <c r="A21" s="118"/>
      <c r="B21" s="128" t="s">
        <v>64</v>
      </c>
      <c r="C21" s="119">
        <v>0.8</v>
      </c>
      <c r="D21" s="120">
        <v>3.8</v>
      </c>
      <c r="E21" s="121">
        <v>2.13</v>
      </c>
      <c r="F21" s="180">
        <v>290</v>
      </c>
      <c r="G21" s="181">
        <v>80</v>
      </c>
      <c r="H21" s="182">
        <v>0.8</v>
      </c>
      <c r="I21" s="182">
        <v>0.65</v>
      </c>
      <c r="J21" s="183">
        <v>0.65</v>
      </c>
      <c r="K21" s="184">
        <f t="shared" si="7"/>
        <v>16029.940200617284</v>
      </c>
      <c r="L21" s="181">
        <f t="shared" si="8"/>
        <v>3831.5466820987658</v>
      </c>
      <c r="M21" s="185">
        <f t="shared" si="17"/>
        <v>0.48628465486011202</v>
      </c>
      <c r="N21" s="184">
        <f t="shared" si="0"/>
        <v>1841.1561285493829</v>
      </c>
      <c r="O21" s="181">
        <f t="shared" ref="O21:O23" si="18">($C$6+G21)*$I$3*D21*9.81*H21</f>
        <v>17636.221799999999</v>
      </c>
      <c r="P21" s="181">
        <f t="shared" si="9"/>
        <v>15423.060362670411</v>
      </c>
      <c r="Q21" s="186">
        <f t="shared" si="10"/>
        <v>641.09056396089511</v>
      </c>
      <c r="R21" s="181">
        <f t="shared" si="11"/>
        <v>1841.1561285493829</v>
      </c>
      <c r="S21" s="181">
        <f t="shared" si="12"/>
        <v>4409.0554499999989</v>
      </c>
      <c r="T21" s="181">
        <f t="shared" si="13"/>
        <v>4486.3033233954857</v>
      </c>
      <c r="U21" s="186">
        <f t="shared" si="14"/>
        <v>641.09056396089511</v>
      </c>
      <c r="V21" s="184">
        <f t="shared" si="1"/>
        <v>0</v>
      </c>
      <c r="W21" s="181">
        <f t="shared" si="2"/>
        <v>1425.4111962962963</v>
      </c>
      <c r="X21" s="181">
        <f t="shared" si="3"/>
        <v>20606.53284</v>
      </c>
      <c r="Y21" s="181">
        <f t="shared" si="4"/>
        <v>14803.092250365144</v>
      </c>
      <c r="Z21" s="187">
        <f t="shared" si="15"/>
        <v>25412.4483853356</v>
      </c>
      <c r="AA21" s="186">
        <f t="shared" si="5"/>
        <v>496.32817855037041</v>
      </c>
      <c r="AB21" s="184">
        <f>IF(M21&lt;0,($C$6+G21)*M21*9.81/2,0)</f>
        <v>0</v>
      </c>
      <c r="AC21" s="181">
        <f>MAX(0,($C$6+G21)*M21*9.81*(1-$H$4)/2)</f>
        <v>1425.4111962962963</v>
      </c>
      <c r="AD21" s="181">
        <f t="shared" si="16"/>
        <v>5151.6332099999981</v>
      </c>
      <c r="AE21" s="181">
        <f t="shared" ref="AE21:AE23" si="19">($C$6+G21)*9.81*(-M21*$C$7/$C$3/2-D21*$C$7/$C$4*(1-J21)+E21*(1-$H$3)/2)+K21*(1-$H$5)/2+L21*$C$11/$C$3/2</f>
        <v>8914.0692292171061</v>
      </c>
      <c r="AF21" s="186">
        <f t="shared" si="6"/>
        <v>496.32817855037041</v>
      </c>
    </row>
    <row r="22" spans="1:32" x14ac:dyDescent="0.25">
      <c r="B22" s="7" t="s">
        <v>68</v>
      </c>
      <c r="C22" s="119">
        <v>3.2</v>
      </c>
      <c r="D22" s="120">
        <v>2.6</v>
      </c>
      <c r="E22" s="121">
        <v>1</v>
      </c>
      <c r="F22" s="34">
        <v>320</v>
      </c>
      <c r="G22" s="27">
        <v>80</v>
      </c>
      <c r="H22" s="35">
        <v>0.75</v>
      </c>
      <c r="I22" s="35">
        <v>0.65</v>
      </c>
      <c r="J22" s="17">
        <v>0.65</v>
      </c>
      <c r="K22" s="29">
        <f t="shared" si="7"/>
        <v>19518.024691358023</v>
      </c>
      <c r="L22" s="30">
        <f t="shared" si="8"/>
        <v>4665.2839506172841</v>
      </c>
      <c r="M22" s="31">
        <f t="shared" si="17"/>
        <v>2.8180207926001839</v>
      </c>
      <c r="N22" s="29">
        <f t="shared" si="0"/>
        <v>10669.504375308643</v>
      </c>
      <c r="O22" s="30">
        <f t="shared" si="18"/>
        <v>11312.708062500002</v>
      </c>
      <c r="P22" s="30">
        <f t="shared" si="9"/>
        <v>12538.816818827718</v>
      </c>
      <c r="Q22" s="43">
        <f t="shared" si="10"/>
        <v>3715.1214234824697</v>
      </c>
      <c r="R22" s="30">
        <f t="shared" si="11"/>
        <v>10669.504375308643</v>
      </c>
      <c r="S22" s="30">
        <f t="shared" si="12"/>
        <v>3770.9026875000004</v>
      </c>
      <c r="T22" s="30">
        <f t="shared" si="13"/>
        <v>5055.7725287975063</v>
      </c>
      <c r="U22" s="43">
        <f t="shared" si="14"/>
        <v>3715.1214234824697</v>
      </c>
      <c r="V22" s="29">
        <f t="shared" si="1"/>
        <v>0</v>
      </c>
      <c r="W22" s="30">
        <f t="shared" si="2"/>
        <v>8260.2614518518531</v>
      </c>
      <c r="X22" s="30">
        <f t="shared" si="3"/>
        <v>13218.006262499999</v>
      </c>
      <c r="Y22" s="30">
        <f t="shared" si="4"/>
        <v>9754.2608095431005</v>
      </c>
      <c r="Z22" s="97">
        <f t="shared" si="15"/>
        <v>18387.311188671043</v>
      </c>
      <c r="AA22" s="43">
        <f t="shared" si="5"/>
        <v>2876.2230375348154</v>
      </c>
      <c r="AB22" s="29">
        <f>IF(M22&lt;0,($C$6+G22)*M22*9.81/2,0)</f>
        <v>0</v>
      </c>
      <c r="AC22" s="30">
        <f>MAX(0,($C$6+G22)*M22*9.81*(1-$H$4)/2)</f>
        <v>8260.2614518518531</v>
      </c>
      <c r="AD22" s="30">
        <f t="shared" si="16"/>
        <v>4406.0020875</v>
      </c>
      <c r="AE22" s="30">
        <f t="shared" si="19"/>
        <v>5724.9292687576008</v>
      </c>
      <c r="AF22" s="43">
        <f t="shared" si="6"/>
        <v>2876.2230375348154</v>
      </c>
    </row>
    <row r="23" spans="1:32" x14ac:dyDescent="0.25">
      <c r="B23" s="8" t="s">
        <v>69</v>
      </c>
      <c r="C23" s="123">
        <v>-2</v>
      </c>
      <c r="D23" s="124">
        <v>0</v>
      </c>
      <c r="E23" s="125">
        <v>4.2</v>
      </c>
      <c r="F23" s="16">
        <v>150</v>
      </c>
      <c r="G23" s="38">
        <v>80</v>
      </c>
      <c r="H23" s="18">
        <v>0.5</v>
      </c>
      <c r="I23" s="18">
        <v>0.5</v>
      </c>
      <c r="J23" s="19">
        <v>0.5</v>
      </c>
      <c r="K23" s="39">
        <f t="shared" si="7"/>
        <v>4288.6284722222217</v>
      </c>
      <c r="L23" s="38">
        <f t="shared" si="8"/>
        <v>1025.0868055555554</v>
      </c>
      <c r="M23" s="40">
        <f t="shared" si="17"/>
        <v>-2.0839309781884361</v>
      </c>
      <c r="N23" s="39">
        <f>MAX(0,($C$6+G23)*M23*9.81*$I$4/2)</f>
        <v>0</v>
      </c>
      <c r="O23" s="38">
        <f t="shared" si="18"/>
        <v>0</v>
      </c>
      <c r="P23" s="38">
        <f t="shared" si="9"/>
        <v>11901.431151296001</v>
      </c>
      <c r="Q23" s="44">
        <f t="shared" si="10"/>
        <v>0</v>
      </c>
      <c r="R23" s="38">
        <f t="shared" si="11"/>
        <v>0</v>
      </c>
      <c r="S23" s="38">
        <f t="shared" si="12"/>
        <v>0</v>
      </c>
      <c r="T23" s="38">
        <f t="shared" si="13"/>
        <v>11901.431151296001</v>
      </c>
      <c r="U23" s="44">
        <f t="shared" si="14"/>
        <v>0</v>
      </c>
      <c r="V23" s="39">
        <f>IF(M23&lt;0,($C$6+G23)*M23*9.81/2,0)</f>
        <v>-12725.993402777778</v>
      </c>
      <c r="W23" s="38">
        <f>MAX(0,($C$6+G23)*M23*9.81*(1-$H$4)/2)</f>
        <v>0</v>
      </c>
      <c r="X23" s="38">
        <f t="shared" si="3"/>
        <v>0</v>
      </c>
      <c r="Y23" s="38">
        <f t="shared" si="4"/>
        <v>16767.791146620664</v>
      </c>
      <c r="Z23" s="98">
        <f t="shared" si="15"/>
        <v>16767.791146620664</v>
      </c>
      <c r="AA23" s="44">
        <f>IF($M23&gt;0,(W23*$C$12),0)</f>
        <v>0</v>
      </c>
      <c r="AB23" s="29">
        <f>IF(M23&lt;0,($C$6+G23)*M23*9.81/2,0)</f>
        <v>-12725.993402777778</v>
      </c>
      <c r="AC23" s="30">
        <f>MAX(0,($C$6+G23)*M23*9.81*(1-$H$4)/2)</f>
        <v>0</v>
      </c>
      <c r="AD23" s="38">
        <f t="shared" si="16"/>
        <v>0</v>
      </c>
      <c r="AE23" s="38">
        <f t="shared" si="19"/>
        <v>16767.791146620664</v>
      </c>
      <c r="AF23" s="44">
        <f>IF($M23&gt;0,(AC23*$C$12),0)</f>
        <v>0</v>
      </c>
    </row>
    <row r="24" spans="1:32" x14ac:dyDescent="0.25">
      <c r="V24" s="94" t="s">
        <v>54</v>
      </c>
      <c r="W24" s="3"/>
      <c r="AB24" s="56" t="s">
        <v>54</v>
      </c>
      <c r="AC24" s="55"/>
    </row>
    <row r="25" spans="1:32" x14ac:dyDescent="0.25">
      <c r="B25" t="s">
        <v>48</v>
      </c>
      <c r="V25" s="54">
        <f>-MIN(V18:V23)*$C$13</f>
        <v>4431.1909028472228</v>
      </c>
      <c r="W25" s="6" t="s">
        <v>55</v>
      </c>
      <c r="AB25" s="54">
        <f>-MIN(AB18:AB23)*$C$13</f>
        <v>4431.1909028472228</v>
      </c>
      <c r="AC25" s="6" t="s">
        <v>55</v>
      </c>
    </row>
    <row r="26" spans="1:32" x14ac:dyDescent="0.25">
      <c r="B26" t="s">
        <v>49</v>
      </c>
      <c r="P26" s="49"/>
    </row>
    <row r="27" spans="1:32" x14ac:dyDescent="0.25">
      <c r="P27" s="49"/>
      <c r="Q27" s="4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F4D4-7D1F-455A-997E-3E762747463D}">
  <dimension ref="A2:AB84"/>
  <sheetViews>
    <sheetView topLeftCell="A55" zoomScale="85" zoomScaleNormal="85" workbookViewId="0">
      <selection activeCell="P83" sqref="P83"/>
    </sheetView>
  </sheetViews>
  <sheetFormatPr defaultRowHeight="15" x14ac:dyDescent="0.25"/>
  <cols>
    <col min="1" max="1" width="3.7109375" customWidth="1"/>
    <col min="5" max="6" width="15.7109375" customWidth="1"/>
    <col min="7" max="8" width="19.5703125" bestFit="1" customWidth="1"/>
    <col min="9" max="10" width="15.7109375" customWidth="1"/>
    <col min="11" max="11" width="17.140625" bestFit="1" customWidth="1"/>
    <col min="12" max="13" width="15.7109375" customWidth="1"/>
    <col min="15" max="15" width="26.5703125" bestFit="1" customWidth="1"/>
    <col min="20" max="21" width="15.7109375" customWidth="1"/>
    <col min="22" max="23" width="19.5703125" style="118" bestFit="1" customWidth="1"/>
    <col min="24" max="25" width="15.7109375" customWidth="1"/>
    <col min="26" max="26" width="17.140625" bestFit="1" customWidth="1"/>
    <col min="27" max="28" width="15.7109375" customWidth="1"/>
  </cols>
  <sheetData>
    <row r="2" spans="2:28" ht="15.75" thickBot="1" x14ac:dyDescent="0.3">
      <c r="B2" s="212" t="s">
        <v>122</v>
      </c>
      <c r="C2" s="212"/>
      <c r="D2" s="212"/>
      <c r="Q2" s="212" t="s">
        <v>131</v>
      </c>
      <c r="R2" s="212"/>
      <c r="S2" s="212"/>
    </row>
    <row r="3" spans="2:28" ht="30.75" thickBot="1" x14ac:dyDescent="0.3">
      <c r="B3" s="132"/>
      <c r="C3" s="132"/>
      <c r="D3" s="132"/>
      <c r="E3" s="134" t="s">
        <v>23</v>
      </c>
      <c r="F3" s="134" t="s">
        <v>24</v>
      </c>
      <c r="G3" s="134" t="s">
        <v>120</v>
      </c>
      <c r="H3" s="134" t="s">
        <v>121</v>
      </c>
      <c r="I3" s="134" t="s">
        <v>76</v>
      </c>
      <c r="J3" s="134" t="s">
        <v>77</v>
      </c>
      <c r="K3" s="134" t="s">
        <v>78</v>
      </c>
      <c r="L3" s="134" t="s">
        <v>79</v>
      </c>
      <c r="M3" s="134" t="s">
        <v>31</v>
      </c>
      <c r="Q3" s="132"/>
      <c r="R3" s="132"/>
      <c r="S3" s="132"/>
      <c r="T3" s="215" t="s">
        <v>23</v>
      </c>
      <c r="U3" s="215" t="s">
        <v>24</v>
      </c>
      <c r="V3" s="216" t="s">
        <v>120</v>
      </c>
      <c r="W3" s="216" t="s">
        <v>121</v>
      </c>
      <c r="X3" s="215" t="s">
        <v>76</v>
      </c>
      <c r="Y3" s="215" t="s">
        <v>77</v>
      </c>
      <c r="Z3" s="215" t="s">
        <v>78</v>
      </c>
      <c r="AA3" s="215" t="s">
        <v>79</v>
      </c>
      <c r="AB3" s="215" t="s">
        <v>31</v>
      </c>
    </row>
    <row r="4" spans="2:28" ht="16.5" thickBot="1" x14ac:dyDescent="0.3">
      <c r="B4" s="200" t="s">
        <v>95</v>
      </c>
      <c r="C4" s="200"/>
      <c r="D4" s="200"/>
      <c r="E4" s="196"/>
      <c r="F4" s="196"/>
      <c r="I4" s="196"/>
      <c r="J4" s="196"/>
      <c r="K4" s="196"/>
      <c r="L4" s="196"/>
      <c r="M4" s="196"/>
      <c r="N4" s="196"/>
      <c r="O4" s="196"/>
      <c r="Q4" s="200" t="s">
        <v>95</v>
      </c>
      <c r="R4" s="200"/>
      <c r="S4" s="200"/>
      <c r="T4" s="196"/>
      <c r="U4" s="196"/>
      <c r="X4" s="196"/>
      <c r="Y4" s="196"/>
      <c r="Z4" s="196"/>
      <c r="AA4" s="196"/>
      <c r="AB4" s="196"/>
    </row>
    <row r="5" spans="2:28" x14ac:dyDescent="0.25">
      <c r="B5" s="190" t="s">
        <v>80</v>
      </c>
      <c r="C5" s="191" t="s">
        <v>96</v>
      </c>
      <c r="D5" s="191" t="s">
        <v>97</v>
      </c>
      <c r="E5" s="192">
        <v>29497.624228762921</v>
      </c>
      <c r="F5" s="203">
        <v>15114.341919795457</v>
      </c>
      <c r="G5" s="209"/>
      <c r="H5" s="209"/>
      <c r="I5" s="206">
        <v>-6423.407736475092</v>
      </c>
      <c r="J5" s="192">
        <v>6204.7546374564936</v>
      </c>
      <c r="K5" s="192">
        <v>15025.396003025156</v>
      </c>
      <c r="L5" s="192">
        <v>25549.884460159039</v>
      </c>
      <c r="M5" s="192">
        <v>11498.061616270468</v>
      </c>
      <c r="N5" s="196"/>
      <c r="O5" s="201" t="s">
        <v>98</v>
      </c>
      <c r="Q5" s="190" t="s">
        <v>80</v>
      </c>
      <c r="R5" s="191" t="s">
        <v>96</v>
      </c>
      <c r="S5" s="191" t="s">
        <v>97</v>
      </c>
      <c r="T5" s="223">
        <f>ABS(E66)/ABS(E5)-1</f>
        <v>8.6236632194828244E-2</v>
      </c>
      <c r="U5" s="224">
        <f t="shared" ref="U5:AB5" si="0">ABS(F66)/ABS(F5)-1</f>
        <v>8.7781300981780275E-2</v>
      </c>
      <c r="V5" s="229"/>
      <c r="W5" s="229"/>
      <c r="X5" s="225">
        <f t="shared" si="0"/>
        <v>-0.179563213763546</v>
      </c>
      <c r="Y5" s="223">
        <f t="shared" si="0"/>
        <v>5.7737232731311039E-2</v>
      </c>
      <c r="Z5" s="223">
        <f t="shared" si="0"/>
        <v>0.39829925253017806</v>
      </c>
      <c r="AA5" s="223">
        <f t="shared" si="0"/>
        <v>3.409625588593368E-3</v>
      </c>
      <c r="AB5" s="223">
        <f t="shared" si="0"/>
        <v>-8.1776750209863192E-2</v>
      </c>
    </row>
    <row r="6" spans="2:28" x14ac:dyDescent="0.25">
      <c r="B6" s="193" t="s">
        <v>80</v>
      </c>
      <c r="C6" s="194" t="s">
        <v>99</v>
      </c>
      <c r="D6" s="194" t="s">
        <v>97</v>
      </c>
      <c r="E6" s="195">
        <v>-15514.912492927802</v>
      </c>
      <c r="F6" s="204">
        <v>17016.296233167126</v>
      </c>
      <c r="G6" s="210"/>
      <c r="H6" s="210"/>
      <c r="I6" s="207">
        <v>-5407.6487336772952</v>
      </c>
      <c r="J6" s="195">
        <v>6529.5630991699909</v>
      </c>
      <c r="K6" s="195">
        <v>-19611.728845534544</v>
      </c>
      <c r="L6" s="195">
        <v>-9662.9916037012936</v>
      </c>
      <c r="M6" s="195">
        <v>12944.951464503625</v>
      </c>
      <c r="N6" s="196"/>
      <c r="O6" s="202" t="s">
        <v>100</v>
      </c>
      <c r="Q6" s="193" t="s">
        <v>80</v>
      </c>
      <c r="R6" s="194" t="s">
        <v>99</v>
      </c>
      <c r="S6" s="194" t="s">
        <v>97</v>
      </c>
      <c r="T6" s="217">
        <f t="shared" ref="T6:T10" si="1">ABS(E67)/ABS(E6)-1</f>
        <v>0.12354484809024435</v>
      </c>
      <c r="U6" s="219">
        <f t="shared" ref="U6:U10" si="2">ABS(F67)/ABS(F6)-1</f>
        <v>8.7806871067515058E-2</v>
      </c>
      <c r="V6" s="230"/>
      <c r="W6" s="230"/>
      <c r="X6" s="221">
        <f t="shared" ref="X6:X10" si="3">ABS(I67)/ABS(I6)-1</f>
        <v>3.6679761591656312E-2</v>
      </c>
      <c r="Y6" s="217">
        <f t="shared" ref="Y6:Y10" si="4">ABS(J67)/ABS(J6)-1</f>
        <v>-4.985985956876271E-2</v>
      </c>
      <c r="Z6" s="217">
        <f t="shared" ref="Z6:Z10" si="5">ABS(K67)/ABS(K6)-1</f>
        <v>-0.22087440019449633</v>
      </c>
      <c r="AA6" s="217">
        <f t="shared" ref="AA6:AA10" si="6">ABS(L67)/ABS(L6)-1</f>
        <v>7.492590555717582E-2</v>
      </c>
      <c r="AB6" s="217">
        <f t="shared" ref="AB6:AB10" si="7">ABS(M67)/ABS(M6)-1</f>
        <v>-8.1776811052424736E-2</v>
      </c>
    </row>
    <row r="7" spans="2:28" x14ac:dyDescent="0.25">
      <c r="B7" s="193" t="s">
        <v>88</v>
      </c>
      <c r="C7" s="194" t="s">
        <v>96</v>
      </c>
      <c r="D7" s="194" t="s">
        <v>97</v>
      </c>
      <c r="E7" s="195">
        <v>-16594.517977748739</v>
      </c>
      <c r="F7" s="204">
        <v>-1991.9657129244476</v>
      </c>
      <c r="G7" s="210"/>
      <c r="H7" s="210"/>
      <c r="I7" s="207">
        <v>4925.5303009409809</v>
      </c>
      <c r="J7" s="195">
        <v>-1837.4128237460318</v>
      </c>
      <c r="K7" s="195">
        <v>-8691.2078977220153</v>
      </c>
      <c r="L7" s="195">
        <v>-14327.323746599266</v>
      </c>
      <c r="M7" s="195">
        <v>-1515.3649842144696</v>
      </c>
      <c r="N7" s="196"/>
      <c r="O7" s="196"/>
      <c r="Q7" s="193" t="s">
        <v>88</v>
      </c>
      <c r="R7" s="194" t="s">
        <v>96</v>
      </c>
      <c r="S7" s="194" t="s">
        <v>97</v>
      </c>
      <c r="T7" s="217">
        <f t="shared" si="1"/>
        <v>5.7538292090972831E-3</v>
      </c>
      <c r="U7" s="219">
        <f t="shared" si="2"/>
        <v>8.7805306427576335E-2</v>
      </c>
      <c r="V7" s="230"/>
      <c r="W7" s="230"/>
      <c r="X7" s="221">
        <f t="shared" si="3"/>
        <v>-0.77261331642076514</v>
      </c>
      <c r="Y7" s="217">
        <f t="shared" si="4"/>
        <v>3.623963836184263E-2</v>
      </c>
      <c r="Z7" s="217">
        <f t="shared" si="5"/>
        <v>0.34526755516508811</v>
      </c>
      <c r="AA7" s="217">
        <f t="shared" si="6"/>
        <v>-0.15197002490545908</v>
      </c>
      <c r="AB7" s="217">
        <f t="shared" si="7"/>
        <v>-8.1755785555110094E-2</v>
      </c>
    </row>
    <row r="8" spans="2:28" x14ac:dyDescent="0.25">
      <c r="B8" s="193" t="s">
        <v>88</v>
      </c>
      <c r="C8" s="194" t="s">
        <v>99</v>
      </c>
      <c r="D8" s="194" t="s">
        <v>97</v>
      </c>
      <c r="E8" s="195">
        <v>8772.8093362404779</v>
      </c>
      <c r="F8" s="204">
        <v>-1872.3441850890893</v>
      </c>
      <c r="G8" s="210"/>
      <c r="H8" s="210"/>
      <c r="I8" s="207">
        <v>3260.6310139439206</v>
      </c>
      <c r="J8" s="195">
        <v>-1384.8192810194525</v>
      </c>
      <c r="K8" s="195">
        <v>9744.2217014379967</v>
      </c>
      <c r="L8" s="195">
        <v>5872.7686448408849</v>
      </c>
      <c r="M8" s="195">
        <v>-1424.364284019877</v>
      </c>
      <c r="N8" s="196"/>
      <c r="O8" s="196"/>
      <c r="Q8" s="193" t="s">
        <v>88</v>
      </c>
      <c r="R8" s="194" t="s">
        <v>99</v>
      </c>
      <c r="S8" s="194" t="s">
        <v>97</v>
      </c>
      <c r="T8" s="217">
        <f t="shared" si="1"/>
        <v>0.22406626981385003</v>
      </c>
      <c r="U8" s="219">
        <f t="shared" si="2"/>
        <v>8.7797229322952752E-2</v>
      </c>
      <c r="V8" s="230"/>
      <c r="W8" s="230"/>
      <c r="X8" s="221">
        <f t="shared" si="3"/>
        <v>-0.32068363745309836</v>
      </c>
      <c r="Y8" s="217">
        <f t="shared" si="4"/>
        <v>-4.066904742833477E-2</v>
      </c>
      <c r="Z8" s="217">
        <f t="shared" si="5"/>
        <v>-0.15357016160840886</v>
      </c>
      <c r="AA8" s="217">
        <f t="shared" si="6"/>
        <v>0.30619822845206524</v>
      </c>
      <c r="AB8" s="217">
        <f t="shared" si="7"/>
        <v>-8.1774681913846847E-2</v>
      </c>
    </row>
    <row r="9" spans="2:28" x14ac:dyDescent="0.25">
      <c r="B9" s="193" t="s">
        <v>89</v>
      </c>
      <c r="C9" s="194" t="s">
        <v>101</v>
      </c>
      <c r="D9" s="194" t="s">
        <v>97</v>
      </c>
      <c r="E9" s="195">
        <v>5139.7529962778299</v>
      </c>
      <c r="F9" s="204">
        <v>-1979.0581256479193</v>
      </c>
      <c r="G9" s="210"/>
      <c r="H9" s="210"/>
      <c r="I9" s="207">
        <v>1560.1988063088113</v>
      </c>
      <c r="J9" s="195">
        <v>-992.21289543809917</v>
      </c>
      <c r="K9" s="195">
        <v>5606.4899233916694</v>
      </c>
      <c r="L9" s="195">
        <v>3479.3121706329471</v>
      </c>
      <c r="M9" s="195">
        <v>-1505.545685788509</v>
      </c>
      <c r="N9" s="196"/>
      <c r="O9" s="196"/>
      <c r="Q9" s="193" t="s">
        <v>89</v>
      </c>
      <c r="R9" s="194" t="s">
        <v>101</v>
      </c>
      <c r="S9" s="194" t="s">
        <v>97</v>
      </c>
      <c r="T9" s="217">
        <f t="shared" si="1"/>
        <v>-0.42341587190159835</v>
      </c>
      <c r="U9" s="219">
        <f t="shared" si="2"/>
        <v>8.7793225760356863E-2</v>
      </c>
      <c r="V9" s="230"/>
      <c r="W9" s="230"/>
      <c r="X9" s="221">
        <f t="shared" si="3"/>
        <v>2.2508485325658567</v>
      </c>
      <c r="Y9" s="217">
        <f t="shared" si="4"/>
        <v>0.73853817858147064</v>
      </c>
      <c r="Z9" s="217">
        <f t="shared" si="5"/>
        <v>4.3717329279533423E-3</v>
      </c>
      <c r="AA9" s="217">
        <f t="shared" si="6"/>
        <v>0.61842333307379649</v>
      </c>
      <c r="AB9" s="217">
        <f t="shared" si="7"/>
        <v>-8.1781487888770599E-2</v>
      </c>
    </row>
    <row r="10" spans="2:28" ht="15.75" thickBot="1" x14ac:dyDescent="0.3">
      <c r="B10" s="197" t="s">
        <v>91</v>
      </c>
      <c r="C10" s="198" t="s">
        <v>102</v>
      </c>
      <c r="D10" s="198" t="s">
        <v>97</v>
      </c>
      <c r="E10" s="199">
        <v>-11296.759497034425</v>
      </c>
      <c r="F10" s="205">
        <v>-29263.246086227005</v>
      </c>
      <c r="G10" s="211"/>
      <c r="H10" s="211"/>
      <c r="I10" s="208">
        <v>-16518.404844724584</v>
      </c>
      <c r="J10" s="199">
        <v>-4774.9669321756573</v>
      </c>
      <c r="K10" s="199">
        <v>-16027.088383584349</v>
      </c>
      <c r="L10" s="199">
        <v>-6241.4767797398072</v>
      </c>
      <c r="M10" s="199">
        <v>-22261.677575974474</v>
      </c>
      <c r="N10" s="196"/>
      <c r="O10" s="196"/>
      <c r="Q10" s="197" t="s">
        <v>91</v>
      </c>
      <c r="R10" s="198" t="s">
        <v>102</v>
      </c>
      <c r="S10" s="198" t="s">
        <v>97</v>
      </c>
      <c r="T10" s="226">
        <f t="shared" si="1"/>
        <v>-0.36208255102785969</v>
      </c>
      <c r="U10" s="227">
        <f t="shared" si="2"/>
        <v>8.7804537000718108E-2</v>
      </c>
      <c r="V10" s="231"/>
      <c r="W10" s="231"/>
      <c r="X10" s="228">
        <f t="shared" si="3"/>
        <v>0.37143993097099304</v>
      </c>
      <c r="Y10" s="226">
        <f t="shared" si="4"/>
        <v>1.2960703510054543</v>
      </c>
      <c r="Z10" s="226">
        <f t="shared" si="5"/>
        <v>-0.54608099575644842</v>
      </c>
      <c r="AA10" s="226">
        <f t="shared" si="6"/>
        <v>-0.47993077366934978</v>
      </c>
      <c r="AB10" s="226">
        <f t="shared" si="7"/>
        <v>-8.1800131691383449E-2</v>
      </c>
    </row>
    <row r="11" spans="2:28" x14ac:dyDescent="0.25">
      <c r="B11" s="196"/>
      <c r="C11" s="196"/>
      <c r="D11" s="196"/>
      <c r="E11" s="196"/>
      <c r="F11" s="196"/>
      <c r="I11" s="196"/>
      <c r="J11" s="196"/>
      <c r="K11" s="196"/>
      <c r="L11" s="196"/>
      <c r="M11" s="196"/>
      <c r="N11" s="196"/>
      <c r="O11" s="196"/>
    </row>
    <row r="12" spans="2:28" ht="16.5" thickBot="1" x14ac:dyDescent="0.3">
      <c r="B12" s="200" t="s">
        <v>103</v>
      </c>
      <c r="C12" s="200"/>
      <c r="D12" s="200"/>
      <c r="E12" s="196"/>
      <c r="F12" s="196"/>
      <c r="I12" s="196"/>
      <c r="J12" s="196"/>
      <c r="K12" s="196"/>
      <c r="L12" s="196"/>
      <c r="M12" s="196"/>
      <c r="N12" s="196"/>
      <c r="O12" s="196"/>
    </row>
    <row r="13" spans="2:28" x14ac:dyDescent="0.25">
      <c r="B13" s="190" t="s">
        <v>80</v>
      </c>
      <c r="C13" s="191" t="s">
        <v>101</v>
      </c>
      <c r="D13" s="191" t="s">
        <v>97</v>
      </c>
      <c r="E13" s="192">
        <v>26446.172016476157</v>
      </c>
      <c r="F13" s="203">
        <v>27371.649939980529</v>
      </c>
      <c r="G13" s="209"/>
      <c r="H13" s="209"/>
      <c r="I13" s="206">
        <v>10086.103608591031</v>
      </c>
      <c r="J13" s="192">
        <v>10842.318731933803</v>
      </c>
      <c r="K13" s="192">
        <v>18586.971696239641</v>
      </c>
      <c r="L13" s="192">
        <v>22895.885986714649</v>
      </c>
      <c r="M13" s="192">
        <v>20822.667584136485</v>
      </c>
      <c r="N13" s="196"/>
      <c r="O13" s="196"/>
    </row>
    <row r="14" spans="2:28" ht="15.75" thickBot="1" x14ac:dyDescent="0.3">
      <c r="B14" s="197" t="s">
        <v>88</v>
      </c>
      <c r="C14" s="198" t="s">
        <v>101</v>
      </c>
      <c r="D14" s="198" t="s">
        <v>97</v>
      </c>
      <c r="E14" s="199">
        <v>14522.725773223396</v>
      </c>
      <c r="F14" s="205">
        <v>3331.2053216242175</v>
      </c>
      <c r="G14" s="211"/>
      <c r="H14" s="211"/>
      <c r="I14" s="208">
        <v>7105.9895039139856</v>
      </c>
      <c r="J14" s="199">
        <v>2786.7117466536374</v>
      </c>
      <c r="K14" s="199">
        <v>9392.1258153496328</v>
      </c>
      <c r="L14" s="199">
        <v>12570.563675272211</v>
      </c>
      <c r="M14" s="199">
        <v>2534.1760989486756</v>
      </c>
      <c r="N14" s="196"/>
      <c r="O14" s="196"/>
    </row>
    <row r="17" spans="2:28" ht="15.75" thickBot="1" x14ac:dyDescent="0.3">
      <c r="B17" s="213" t="s">
        <v>123</v>
      </c>
      <c r="C17" s="213"/>
      <c r="D17" s="213"/>
      <c r="Q17" s="213" t="s">
        <v>132</v>
      </c>
      <c r="R17" s="213"/>
      <c r="S17" s="213"/>
    </row>
    <row r="18" spans="2:28" ht="30.75" thickBot="1" x14ac:dyDescent="0.3">
      <c r="E18" s="134" t="s">
        <v>23</v>
      </c>
      <c r="F18" s="134" t="s">
        <v>24</v>
      </c>
      <c r="G18" s="134" t="s">
        <v>120</v>
      </c>
      <c r="H18" s="134" t="s">
        <v>121</v>
      </c>
      <c r="I18" s="134" t="s">
        <v>76</v>
      </c>
      <c r="J18" s="134" t="s">
        <v>77</v>
      </c>
      <c r="K18" s="134" t="s">
        <v>78</v>
      </c>
      <c r="L18" s="134" t="s">
        <v>79</v>
      </c>
      <c r="M18" s="134" t="s">
        <v>31</v>
      </c>
      <c r="T18" s="215" t="s">
        <v>23</v>
      </c>
      <c r="U18" s="215" t="s">
        <v>24</v>
      </c>
      <c r="V18" s="216" t="s">
        <v>120</v>
      </c>
      <c r="W18" s="216" t="s">
        <v>121</v>
      </c>
      <c r="X18" s="215" t="s">
        <v>76</v>
      </c>
      <c r="Y18" s="215" t="s">
        <v>77</v>
      </c>
      <c r="Z18" s="215" t="s">
        <v>78</v>
      </c>
      <c r="AA18" s="215" t="s">
        <v>79</v>
      </c>
      <c r="AB18" s="215" t="s">
        <v>31</v>
      </c>
    </row>
    <row r="19" spans="2:28" ht="16.5" thickBot="1" x14ac:dyDescent="0.3">
      <c r="B19" s="200" t="s">
        <v>95</v>
      </c>
      <c r="C19" s="200"/>
      <c r="D19" s="200"/>
      <c r="E19" s="196"/>
      <c r="F19" s="196"/>
      <c r="I19" s="196"/>
      <c r="J19" s="196"/>
      <c r="K19" s="196"/>
      <c r="L19" s="196"/>
      <c r="M19" s="196"/>
      <c r="N19" s="196"/>
      <c r="O19" s="196"/>
      <c r="Q19" s="200" t="s">
        <v>95</v>
      </c>
      <c r="R19" s="200"/>
      <c r="S19" s="200"/>
      <c r="T19" s="196"/>
      <c r="U19" s="196"/>
      <c r="X19" s="196"/>
      <c r="Y19" s="196"/>
      <c r="Z19" s="196"/>
      <c r="AA19" s="196"/>
      <c r="AB19" s="196"/>
    </row>
    <row r="20" spans="2:28" x14ac:dyDescent="0.25">
      <c r="B20" s="190" t="s">
        <v>80</v>
      </c>
      <c r="C20" s="191" t="s">
        <v>96</v>
      </c>
      <c r="D20" s="191" t="s">
        <v>97</v>
      </c>
      <c r="E20" s="192">
        <v>38918.41882416288</v>
      </c>
      <c r="F20" s="203">
        <v>34212.534600964769</v>
      </c>
      <c r="G20" s="209"/>
      <c r="H20" s="209"/>
      <c r="I20" s="206">
        <v>7684.4729296989071</v>
      </c>
      <c r="J20" s="192">
        <v>14724.977460015656</v>
      </c>
      <c r="K20" s="192">
        <v>29035.95926070998</v>
      </c>
      <c r="L20" s="192">
        <v>34902.671749584108</v>
      </c>
      <c r="M20" s="192">
        <v>24004.8090464261</v>
      </c>
      <c r="N20" s="196"/>
      <c r="O20" s="201" t="s">
        <v>98</v>
      </c>
      <c r="Q20" s="190" t="s">
        <v>80</v>
      </c>
      <c r="R20" s="191" t="s">
        <v>96</v>
      </c>
      <c r="S20" s="191" t="s">
        <v>97</v>
      </c>
      <c r="T20" s="223">
        <f>ABS(E79)/ABS(E20)-1</f>
        <v>-0.13544791858013683</v>
      </c>
      <c r="U20" s="224">
        <f>ABS(F79)/ABS(F20)-1</f>
        <v>-0.59330695131813949</v>
      </c>
      <c r="V20" s="229"/>
      <c r="W20" s="229"/>
      <c r="X20" s="225">
        <f>ABS(I79)/ABS(I20)-1</f>
        <v>-0.10716062600941101</v>
      </c>
      <c r="Y20" s="223">
        <f>ABS(J79)/ABS(J20)-1</f>
        <v>-0.41745241897362606</v>
      </c>
      <c r="Z20" s="223">
        <f>ABS(K79)/ABS(K20)-1</f>
        <v>-7.2649890495072977E-2</v>
      </c>
      <c r="AA20" s="223">
        <f>ABS(L79)/ABS(L20)-1</f>
        <v>-0.25713423356167708</v>
      </c>
      <c r="AB20" s="223">
        <f>ABS(M79)/ABS(M20)-1</f>
        <v>-0.13476438341030528</v>
      </c>
    </row>
    <row r="21" spans="2:28" x14ac:dyDescent="0.25">
      <c r="B21" s="193" t="s">
        <v>80</v>
      </c>
      <c r="C21" s="194" t="s">
        <v>99</v>
      </c>
      <c r="D21" s="194" t="s">
        <v>97</v>
      </c>
      <c r="E21" s="195">
        <v>-3291.1330162618019</v>
      </c>
      <c r="F21" s="204">
        <v>50375.941306407192</v>
      </c>
      <c r="G21" s="210"/>
      <c r="H21" s="210"/>
      <c r="I21" s="207">
        <v>1645.4241388276748</v>
      </c>
      <c r="J21" s="195">
        <v>28730.352867711896</v>
      </c>
      <c r="K21" s="195">
        <v>-13637.803513053588</v>
      </c>
      <c r="L21" s="195">
        <v>8932.2989496808077</v>
      </c>
      <c r="M21" s="195">
        <v>44207.30181105293</v>
      </c>
      <c r="N21" s="196"/>
      <c r="O21" s="202" t="s">
        <v>100</v>
      </c>
      <c r="Q21" s="193" t="s">
        <v>80</v>
      </c>
      <c r="R21" s="194" t="s">
        <v>99</v>
      </c>
      <c r="S21" s="194" t="s">
        <v>97</v>
      </c>
      <c r="T21" s="217">
        <f>ABS(E80)/ABS(E21)-1</f>
        <v>0.24789851388774675</v>
      </c>
      <c r="U21" s="219">
        <f>ABS(F80)/ABS(F21)-1</f>
        <v>-0.85177448189836025</v>
      </c>
      <c r="V21" s="230"/>
      <c r="W21" s="230"/>
      <c r="X21" s="221">
        <f>ABS(I80)/ABS(I21)-1</f>
        <v>1.1131329715858422</v>
      </c>
      <c r="Y21" s="217">
        <f>ABS(J80)/ABS(J21)-1</f>
        <v>-0.26245249762267941</v>
      </c>
      <c r="Z21" s="217">
        <f>ABS(K80)/ABS(K21)-1</f>
        <v>-0.464869838239374</v>
      </c>
      <c r="AA21" s="217">
        <f>ABS(L80)/ABS(L21)-1</f>
        <v>-0.18296509766270297</v>
      </c>
      <c r="AB21" s="217">
        <f>ABS(M80)/ABS(M21)-1</f>
        <v>-5.1486261410126355E-3</v>
      </c>
    </row>
    <row r="22" spans="2:28" x14ac:dyDescent="0.25">
      <c r="B22" s="193" t="s">
        <v>88</v>
      </c>
      <c r="C22" s="194" t="s">
        <v>96</v>
      </c>
      <c r="D22" s="194" t="s">
        <v>97</v>
      </c>
      <c r="E22" s="195">
        <v>-15846.034168382608</v>
      </c>
      <c r="F22" s="204">
        <v>-3696.1057181721335</v>
      </c>
      <c r="G22" s="210"/>
      <c r="H22" s="210"/>
      <c r="I22" s="207">
        <v>-6681.8618028036717</v>
      </c>
      <c r="J22" s="195">
        <v>-729.6772839018422</v>
      </c>
      <c r="K22" s="195">
        <v>-15668.401771533012</v>
      </c>
      <c r="L22" s="195">
        <v>-10708.284089221454</v>
      </c>
      <c r="M22" s="195">
        <v>-13606.521206895384</v>
      </c>
      <c r="N22" s="196"/>
      <c r="O22" s="196"/>
      <c r="Q22" s="193" t="s">
        <v>88</v>
      </c>
      <c r="R22" s="194" t="s">
        <v>96</v>
      </c>
      <c r="S22" s="194" t="s">
        <v>97</v>
      </c>
      <c r="T22" s="217">
        <f>ABS(E81)/ABS(E22)-1</f>
        <v>-4.1526741731730876E-2</v>
      </c>
      <c r="U22" s="219">
        <f>ABS(F81)/ABS(F22)-1</f>
        <v>0.27891363516996037</v>
      </c>
      <c r="V22" s="230"/>
      <c r="W22" s="230"/>
      <c r="X22" s="221">
        <f>ABS(I81)/ABS(I22)-1</f>
        <v>0.12543482968244724</v>
      </c>
      <c r="Y22" s="217">
        <f>ABS(J81)/ABS(J22)-1</f>
        <v>0.68704717435824247</v>
      </c>
      <c r="Z22" s="217">
        <f>ABS(K81)/ABS(K22)-1</f>
        <v>-0.29565247554152885</v>
      </c>
      <c r="AA22" s="217">
        <f>ABS(L81)/ABS(L22)-1</f>
        <v>0.10241752101837287</v>
      </c>
      <c r="AB22" s="217">
        <f>ABS(M81)/ABS(M22)-1</f>
        <v>0.14685914782522258</v>
      </c>
    </row>
    <row r="23" spans="2:28" x14ac:dyDescent="0.25">
      <c r="B23" s="193" t="s">
        <v>88</v>
      </c>
      <c r="C23" s="194" t="s">
        <v>99</v>
      </c>
      <c r="D23" s="194" t="s">
        <v>97</v>
      </c>
      <c r="E23" s="195">
        <v>442.75708929093702</v>
      </c>
      <c r="F23" s="204">
        <v>-33076.84530742879</v>
      </c>
      <c r="G23" s="210"/>
      <c r="H23" s="210"/>
      <c r="I23" s="207">
        <v>2823.7473983612576</v>
      </c>
      <c r="J23" s="195">
        <v>-20376.261882459763</v>
      </c>
      <c r="K23" s="195">
        <v>10505.672713495595</v>
      </c>
      <c r="L23" s="195">
        <v>-8827.1774899266402</v>
      </c>
      <c r="M23" s="195">
        <v>-26187.616734597592</v>
      </c>
      <c r="N23" s="196"/>
      <c r="O23" s="196"/>
      <c r="Q23" s="193" t="s">
        <v>88</v>
      </c>
      <c r="R23" s="194" t="s">
        <v>99</v>
      </c>
      <c r="S23" s="194" t="s">
        <v>97</v>
      </c>
      <c r="T23" s="217">
        <f>ABS(E82)/ABS(E23)-1</f>
        <v>6.0467533450375512</v>
      </c>
      <c r="U23" s="219">
        <f>ABS(F82)/ABS(F23)-1</f>
        <v>-0.76261339535192896</v>
      </c>
      <c r="V23" s="230"/>
      <c r="W23" s="230"/>
      <c r="X23" s="221">
        <f>ABS(I82)/ABS(I23)-1</f>
        <v>0.22213481347615027</v>
      </c>
      <c r="Y23" s="217">
        <f>ABS(J82)/ABS(J23)-1</f>
        <v>-0.35788025912334132</v>
      </c>
      <c r="Z23" s="217">
        <f>ABS(K82)/ABS(K23)-1</f>
        <v>-0.27962728267004344</v>
      </c>
      <c r="AA23" s="217">
        <f>ABS(L82)/ABS(L23)-1</f>
        <v>-0.6746185285978803</v>
      </c>
      <c r="AB23" s="217">
        <f>ABS(M82)/ABS(M23)-1</f>
        <v>-0.20001996511054299</v>
      </c>
    </row>
    <row r="24" spans="2:28" x14ac:dyDescent="0.25">
      <c r="B24" s="193" t="s">
        <v>89</v>
      </c>
      <c r="C24" s="194" t="s">
        <v>101</v>
      </c>
      <c r="D24" s="194" t="s">
        <v>97</v>
      </c>
      <c r="E24" s="195">
        <v>-2428.567807078909</v>
      </c>
      <c r="F24" s="204">
        <v>3316.2585645539384</v>
      </c>
      <c r="G24" s="210"/>
      <c r="H24" s="210"/>
      <c r="I24" s="207">
        <v>58.398249502896711</v>
      </c>
      <c r="J24" s="195">
        <v>3293.7484372096778</v>
      </c>
      <c r="K24" s="195">
        <v>-3510.6126256724988</v>
      </c>
      <c r="L24" s="195">
        <v>-814.53068189650844</v>
      </c>
      <c r="M24" s="195">
        <v>9526.6240771076464</v>
      </c>
      <c r="N24" s="196"/>
      <c r="O24" s="196"/>
      <c r="Q24" s="193" t="s">
        <v>89</v>
      </c>
      <c r="R24" s="194" t="s">
        <v>101</v>
      </c>
      <c r="S24" s="194" t="s">
        <v>97</v>
      </c>
      <c r="T24" s="217">
        <f>ABS(E83)/ABS(E24)-1</f>
        <v>0.2686489506363996</v>
      </c>
      <c r="U24" s="219">
        <f>ABS(F83)/ABS(F24)-1</f>
        <v>0.58914026075311599</v>
      </c>
      <c r="V24" s="230"/>
      <c r="W24" s="230"/>
      <c r="X24" s="221">
        <f>ABS(I83)/ABS(I24)-1</f>
        <v>46.193195403285074</v>
      </c>
      <c r="Y24" s="217">
        <f>ABS(J83)/ABS(J24)-1</f>
        <v>-0.5883110001112456</v>
      </c>
      <c r="Z24" s="217">
        <f>ABS(K83)/ABS(K24)-1</f>
        <v>0.48521086088249277</v>
      </c>
      <c r="AA24" s="217">
        <f>ABS(L83)/ABS(L24)-1</f>
        <v>1.0600820046373665</v>
      </c>
      <c r="AB24" s="217">
        <f>ABS(M83)/ABS(M24)-1</f>
        <v>-0.32548652349910923</v>
      </c>
    </row>
    <row r="25" spans="2:28" ht="15.75" thickBot="1" x14ac:dyDescent="0.3">
      <c r="B25" s="197" t="s">
        <v>91</v>
      </c>
      <c r="C25" s="198" t="s">
        <v>102</v>
      </c>
      <c r="D25" s="198" t="s">
        <v>97</v>
      </c>
      <c r="E25" s="199">
        <v>-19237.723259575225</v>
      </c>
      <c r="F25" s="205">
        <v>-53130.281452932722</v>
      </c>
      <c r="G25" s="211"/>
      <c r="H25" s="211"/>
      <c r="I25" s="208">
        <v>-23302.276576246259</v>
      </c>
      <c r="J25" s="199">
        <v>-18232.442932358714</v>
      </c>
      <c r="K25" s="199">
        <v>-21557.732433775436</v>
      </c>
      <c r="L25" s="199">
        <v>-17332.434540525832</v>
      </c>
      <c r="M25" s="199">
        <v>-44428.812431033548</v>
      </c>
      <c r="N25" s="196"/>
      <c r="O25" s="196"/>
      <c r="Q25" s="197" t="s">
        <v>91</v>
      </c>
      <c r="R25" s="198" t="s">
        <v>102</v>
      </c>
      <c r="S25" s="198" t="s">
        <v>97</v>
      </c>
      <c r="T25" s="226">
        <f>ABS(E84)/ABS(E25)-1</f>
        <v>-0.44172187867114876</v>
      </c>
      <c r="U25" s="227">
        <f>ABS(F84)/ABS(F25)-1</f>
        <v>-4.4687914085982383E-2</v>
      </c>
      <c r="V25" s="231"/>
      <c r="W25" s="231"/>
      <c r="X25" s="228">
        <f>ABS(I84)/ABS(I25)-1</f>
        <v>-0.1563914394510767</v>
      </c>
      <c r="Y25" s="226">
        <f>ABS(J84)/ABS(J25)-1</f>
        <v>-8.7779950185296718E-2</v>
      </c>
      <c r="Z25" s="226">
        <f>ABS(K84)/ABS(K25)-1</f>
        <v>-0.27367128949666664</v>
      </c>
      <c r="AA25" s="226">
        <f>ABS(L84)/ABS(L25)-1</f>
        <v>-0.33650405699722818</v>
      </c>
      <c r="AB25" s="226">
        <f>ABS(M84)/ABS(M25)-1</f>
        <v>-5.2762251584523745E-2</v>
      </c>
    </row>
    <row r="26" spans="2:28" x14ac:dyDescent="0.25">
      <c r="B26" s="196"/>
      <c r="C26" s="196"/>
      <c r="D26" s="196"/>
      <c r="E26" s="196"/>
      <c r="F26" s="196"/>
      <c r="I26" s="196"/>
      <c r="J26" s="196"/>
      <c r="K26" s="196"/>
      <c r="L26" s="196"/>
      <c r="M26" s="196"/>
      <c r="N26" s="196"/>
      <c r="O26" s="196"/>
    </row>
    <row r="27" spans="2:28" ht="16.5" thickBot="1" x14ac:dyDescent="0.3">
      <c r="B27" s="200" t="s">
        <v>118</v>
      </c>
      <c r="C27" s="200"/>
      <c r="D27" s="200"/>
      <c r="E27" s="196"/>
      <c r="F27" s="196"/>
      <c r="I27" s="196"/>
      <c r="J27" s="196"/>
      <c r="K27" s="196"/>
      <c r="L27" s="196"/>
      <c r="M27" s="196"/>
      <c r="N27" s="196"/>
      <c r="O27" s="196"/>
    </row>
    <row r="28" spans="2:28" x14ac:dyDescent="0.25">
      <c r="B28" s="190" t="s">
        <v>80</v>
      </c>
      <c r="C28" s="191" t="s">
        <v>101</v>
      </c>
      <c r="D28" s="191" t="s">
        <v>97</v>
      </c>
      <c r="E28" s="192">
        <v>36858.129611202727</v>
      </c>
      <c r="F28" s="203">
        <v>77166.783224128638</v>
      </c>
      <c r="G28" s="209"/>
      <c r="H28" s="209"/>
      <c r="I28" s="206">
        <v>8845.3172057479987</v>
      </c>
      <c r="J28" s="192">
        <v>39921.011575800308</v>
      </c>
      <c r="K28" s="192">
        <v>22647.917304362913</v>
      </c>
      <c r="L28" s="192">
        <v>41283.739353771023</v>
      </c>
      <c r="M28" s="192">
        <v>62559.735945503548</v>
      </c>
      <c r="N28" s="196"/>
      <c r="O28" s="196"/>
    </row>
    <row r="29" spans="2:28" ht="15.75" thickBot="1" x14ac:dyDescent="0.3">
      <c r="B29" s="197" t="s">
        <v>88</v>
      </c>
      <c r="C29" s="198" t="s">
        <v>101</v>
      </c>
      <c r="D29" s="198" t="s">
        <v>97</v>
      </c>
      <c r="E29" s="199">
        <v>15527.149129205151</v>
      </c>
      <c r="F29" s="205">
        <v>35853.67546738041</v>
      </c>
      <c r="G29" s="211"/>
      <c r="H29" s="211"/>
      <c r="I29" s="208">
        <v>5018.8468555276886</v>
      </c>
      <c r="J29" s="199">
        <v>20912.703880177422</v>
      </c>
      <c r="K29" s="199">
        <v>10795.642826182513</v>
      </c>
      <c r="L29" s="199">
        <v>18166.304857186929</v>
      </c>
      <c r="M29" s="199">
        <v>37269.093771274333</v>
      </c>
      <c r="N29" s="196"/>
      <c r="O29" s="196"/>
    </row>
    <row r="33" spans="2:28" ht="15.75" thickBot="1" x14ac:dyDescent="0.3">
      <c r="B33" s="212" t="s">
        <v>124</v>
      </c>
      <c r="C33" s="212"/>
      <c r="D33" s="212"/>
      <c r="Q33" s="212" t="s">
        <v>133</v>
      </c>
      <c r="R33" s="212"/>
      <c r="S33" s="212"/>
    </row>
    <row r="34" spans="2:28" ht="39.75" customHeight="1" thickBot="1" x14ac:dyDescent="0.3">
      <c r="E34" s="134" t="s">
        <v>23</v>
      </c>
      <c r="F34" s="134" t="s">
        <v>24</v>
      </c>
      <c r="G34" s="134" t="s">
        <v>120</v>
      </c>
      <c r="H34" s="134" t="s">
        <v>121</v>
      </c>
      <c r="I34" s="134" t="s">
        <v>76</v>
      </c>
      <c r="J34" s="134" t="s">
        <v>77</v>
      </c>
      <c r="K34" s="134" t="s">
        <v>78</v>
      </c>
      <c r="L34" s="134" t="s">
        <v>79</v>
      </c>
      <c r="M34" s="134" t="s">
        <v>31</v>
      </c>
      <c r="Q34" s="132"/>
      <c r="R34" s="132"/>
      <c r="S34" s="132"/>
      <c r="T34" s="215" t="s">
        <v>23</v>
      </c>
      <c r="U34" s="215" t="s">
        <v>24</v>
      </c>
      <c r="V34" s="216" t="s">
        <v>120</v>
      </c>
      <c r="W34" s="216" t="s">
        <v>121</v>
      </c>
      <c r="X34" s="215" t="s">
        <v>76</v>
      </c>
      <c r="Y34" s="215" t="s">
        <v>77</v>
      </c>
      <c r="Z34" s="215" t="s">
        <v>78</v>
      </c>
      <c r="AA34" s="215" t="s">
        <v>79</v>
      </c>
      <c r="AB34" s="215" t="s">
        <v>31</v>
      </c>
    </row>
    <row r="35" spans="2:28" ht="16.5" thickBot="1" x14ac:dyDescent="0.3">
      <c r="B35" s="151" t="s">
        <v>95</v>
      </c>
      <c r="C35" s="151"/>
      <c r="D35" s="151"/>
      <c r="Q35" s="200" t="s">
        <v>95</v>
      </c>
      <c r="R35" s="200"/>
      <c r="S35" s="200"/>
      <c r="T35" s="196"/>
      <c r="U35" s="196"/>
      <c r="X35" s="196"/>
      <c r="Y35" s="196"/>
      <c r="Z35" s="196"/>
      <c r="AA35" s="196"/>
      <c r="AB35" s="196"/>
    </row>
    <row r="36" spans="2:28" x14ac:dyDescent="0.25">
      <c r="B36" s="56" t="s">
        <v>80</v>
      </c>
      <c r="C36" s="136" t="s">
        <v>96</v>
      </c>
      <c r="D36" s="136" t="s">
        <v>97</v>
      </c>
      <c r="E36" s="138">
        <v>24009.172518734773</v>
      </c>
      <c r="F36" s="138">
        <v>14946.453197271419</v>
      </c>
      <c r="G36" s="138">
        <v>2807.5403845729734</v>
      </c>
      <c r="H36" s="138">
        <v>11136.243051338679</v>
      </c>
      <c r="I36" s="138">
        <v>-4198.0706052948899</v>
      </c>
      <c r="J36" s="138">
        <v>11814.154325508405</v>
      </c>
      <c r="K36" s="138">
        <v>15039.153030556474</v>
      </c>
      <c r="L36" s="138">
        <v>25574.397302832691</v>
      </c>
      <c r="M36" s="138">
        <v>9597.9886396173642</v>
      </c>
      <c r="Q36" s="190" t="s">
        <v>80</v>
      </c>
      <c r="R36" s="191" t="s">
        <v>96</v>
      </c>
      <c r="S36" s="191" t="s">
        <v>97</v>
      </c>
      <c r="T36" s="223">
        <f>ABS(E66)/ABS(E36)-1</f>
        <v>0.33454828461903641</v>
      </c>
      <c r="U36" s="224">
        <f t="shared" ref="U36:AB41" si="8">ABS(F66)/ABS(F36)-1</f>
        <v>0.10000000000000009</v>
      </c>
      <c r="V36" s="218">
        <f t="shared" si="8"/>
        <v>-0.42832523128812616</v>
      </c>
      <c r="W36" s="218">
        <f t="shared" si="8"/>
        <v>0.25302581271541125</v>
      </c>
      <c r="X36" s="225">
        <f t="shared" si="8"/>
        <v>0.25533858181258795</v>
      </c>
      <c r="Y36" s="223">
        <f t="shared" si="8"/>
        <v>-0.44447991627893602</v>
      </c>
      <c r="Z36" s="223">
        <f t="shared" si="8"/>
        <v>0.3970201617944833</v>
      </c>
      <c r="AA36" s="223">
        <f t="shared" si="8"/>
        <v>2.4478659819824333E-3</v>
      </c>
      <c r="AB36" s="223">
        <f t="shared" si="8"/>
        <v>0.10000000000000009</v>
      </c>
    </row>
    <row r="37" spans="2:28" x14ac:dyDescent="0.25">
      <c r="B37" s="94" t="s">
        <v>80</v>
      </c>
      <c r="C37" s="129" t="s">
        <v>99</v>
      </c>
      <c r="D37" s="129" t="s">
        <v>97</v>
      </c>
      <c r="E37" s="142">
        <v>-14958.893879533874</v>
      </c>
      <c r="F37" s="142">
        <v>16827.676329599522</v>
      </c>
      <c r="G37" s="142">
        <v>-15015.339356585451</v>
      </c>
      <c r="H37" s="142">
        <v>-7418.9985812119548</v>
      </c>
      <c r="I37" s="142">
        <v>-9470.5083594929056</v>
      </c>
      <c r="J37" s="142">
        <v>5666.0356487061572</v>
      </c>
      <c r="K37" s="142">
        <v>-19636.968713426446</v>
      </c>
      <c r="L37" s="142">
        <v>-9677.9994791291974</v>
      </c>
      <c r="M37" s="142">
        <v>10805.776922280093</v>
      </c>
      <c r="Q37" s="193" t="s">
        <v>80</v>
      </c>
      <c r="R37" s="194" t="s">
        <v>99</v>
      </c>
      <c r="S37" s="194" t="s">
        <v>97</v>
      </c>
      <c r="T37" s="217">
        <f t="shared" ref="T37:T41" si="9">ABS(E67)/ABS(E37)-1</f>
        <v>0.16530674930780243</v>
      </c>
      <c r="U37" s="219">
        <f t="shared" si="8"/>
        <v>0.10000000000000009</v>
      </c>
      <c r="V37" s="220">
        <f t="shared" si="8"/>
        <v>-0.10740279112494089</v>
      </c>
      <c r="W37" s="220">
        <f t="shared" si="8"/>
        <v>-0.90497369796169547</v>
      </c>
      <c r="X37" s="221">
        <f t="shared" si="8"/>
        <v>-0.40805711930123134</v>
      </c>
      <c r="Y37" s="217">
        <f t="shared" si="8"/>
        <v>9.4945458279403372E-2</v>
      </c>
      <c r="Z37" s="217">
        <f t="shared" si="8"/>
        <v>-0.22187582905540004</v>
      </c>
      <c r="AA37" s="217">
        <f t="shared" si="8"/>
        <v>7.3258995559958073E-2</v>
      </c>
      <c r="AB37" s="217">
        <f t="shared" si="8"/>
        <v>0.10000000000000009</v>
      </c>
    </row>
    <row r="38" spans="2:28" x14ac:dyDescent="0.25">
      <c r="B38" s="94" t="s">
        <v>88</v>
      </c>
      <c r="C38" s="129" t="s">
        <v>96</v>
      </c>
      <c r="D38" s="129" t="s">
        <v>97</v>
      </c>
      <c r="E38" s="142">
        <v>-14114.375073310897</v>
      </c>
      <c r="F38" s="142">
        <v>-1969.882611582731</v>
      </c>
      <c r="G38" s="142">
        <v>-421.26910038892009</v>
      </c>
      <c r="H38" s="142">
        <v>-5499.9438586153765</v>
      </c>
      <c r="I38" s="142">
        <v>3884.7677400360758</v>
      </c>
      <c r="J38" s="142">
        <v>-4690.4517263096313</v>
      </c>
      <c r="K38" s="142">
        <v>-8700.7235920985331</v>
      </c>
      <c r="L38" s="142">
        <v>-14343.126472063195</v>
      </c>
      <c r="M38" s="142">
        <v>-1264.9773904793713</v>
      </c>
      <c r="Q38" s="193" t="s">
        <v>88</v>
      </c>
      <c r="R38" s="194" t="s">
        <v>96</v>
      </c>
      <c r="S38" s="194" t="s">
        <v>97</v>
      </c>
      <c r="T38" s="217">
        <f t="shared" si="9"/>
        <v>0.18248239212229755</v>
      </c>
      <c r="U38" s="219">
        <f t="shared" si="8"/>
        <v>0.10000000000000009</v>
      </c>
      <c r="V38" s="220">
        <f t="shared" si="8"/>
        <v>9.4548375276845693</v>
      </c>
      <c r="W38" s="220">
        <f t="shared" si="8"/>
        <v>-2.4819136726559665E-2</v>
      </c>
      <c r="X38" s="221">
        <f t="shared" si="8"/>
        <v>-0.71169447571926159</v>
      </c>
      <c r="Y38" s="217">
        <f t="shared" si="8"/>
        <v>-0.59406894877094596</v>
      </c>
      <c r="Z38" s="217">
        <f t="shared" si="8"/>
        <v>0.34379628041717836</v>
      </c>
      <c r="AA38" s="217">
        <f t="shared" si="8"/>
        <v>-0.15290435292018478</v>
      </c>
      <c r="AB38" s="217">
        <f t="shared" si="8"/>
        <v>0.10000000000000009</v>
      </c>
    </row>
    <row r="39" spans="2:28" x14ac:dyDescent="0.25">
      <c r="B39" s="94" t="s">
        <v>88</v>
      </c>
      <c r="C39" s="129" t="s">
        <v>99</v>
      </c>
      <c r="D39" s="129" t="s">
        <v>97</v>
      </c>
      <c r="E39" s="142">
        <v>7734.9906748489357</v>
      </c>
      <c r="F39" s="142">
        <v>-1851.5734698898664</v>
      </c>
      <c r="G39" s="142">
        <v>8101.0071330668516</v>
      </c>
      <c r="H39" s="142">
        <v>4663.540288621939</v>
      </c>
      <c r="I39" s="142">
        <v>5445.2947490103788</v>
      </c>
      <c r="J39" s="142">
        <v>-445.06059691799277</v>
      </c>
      <c r="K39" s="142">
        <v>9755.2862966701286</v>
      </c>
      <c r="L39" s="142">
        <v>5879.7548461139086</v>
      </c>
      <c r="M39" s="142">
        <v>-1188.9884979679157</v>
      </c>
      <c r="Q39" s="193" t="s">
        <v>88</v>
      </c>
      <c r="R39" s="194" t="s">
        <v>99</v>
      </c>
      <c r="S39" s="194" t="s">
        <v>97</v>
      </c>
      <c r="T39" s="217">
        <f t="shared" si="9"/>
        <v>0.38830160906557554</v>
      </c>
      <c r="U39" s="219">
        <f t="shared" si="8"/>
        <v>0.10000000000000009</v>
      </c>
      <c r="V39" s="220">
        <f t="shared" si="8"/>
        <v>-0.32593566326946988</v>
      </c>
      <c r="W39" s="220">
        <f t="shared" si="8"/>
        <v>-0.44497959922956898</v>
      </c>
      <c r="X39" s="221">
        <f t="shared" si="8"/>
        <v>-0.59322679449031634</v>
      </c>
      <c r="Y39" s="217">
        <f t="shared" si="8"/>
        <v>1.9849867842710651</v>
      </c>
      <c r="Z39" s="217">
        <f t="shared" si="8"/>
        <v>-0.15453019530392409</v>
      </c>
      <c r="AA39" s="217">
        <f t="shared" si="8"/>
        <v>0.30464623113835687</v>
      </c>
      <c r="AB39" s="217">
        <f t="shared" si="8"/>
        <v>0.10000000000000009</v>
      </c>
    </row>
    <row r="40" spans="2:28" x14ac:dyDescent="0.25">
      <c r="B40" s="94" t="s">
        <v>89</v>
      </c>
      <c r="C40" s="129" t="s">
        <v>101</v>
      </c>
      <c r="D40" s="129" t="s">
        <v>97</v>
      </c>
      <c r="E40" s="142">
        <v>4614.0417386495328</v>
      </c>
      <c r="F40" s="142">
        <v>-1957.0963840598142</v>
      </c>
      <c r="G40" s="142">
        <v>4364.9092227101355</v>
      </c>
      <c r="H40" s="142">
        <v>2572.5238730281981</v>
      </c>
      <c r="I40" s="142">
        <v>2765.3420393506481</v>
      </c>
      <c r="J40" s="142">
        <v>-471.11551178559171</v>
      </c>
      <c r="K40" s="142">
        <v>5613.091408528815</v>
      </c>
      <c r="L40" s="142">
        <v>3483.626318019773</v>
      </c>
      <c r="M40" s="142">
        <v>-1256.7453813820046</v>
      </c>
      <c r="Q40" s="193" t="s">
        <v>89</v>
      </c>
      <c r="R40" s="194" t="s">
        <v>101</v>
      </c>
      <c r="S40" s="194" t="s">
        <v>97</v>
      </c>
      <c r="T40" s="217">
        <f t="shared" si="9"/>
        <v>-0.35772145813588241</v>
      </c>
      <c r="U40" s="219">
        <f t="shared" si="8"/>
        <v>0.10000000000000009</v>
      </c>
      <c r="V40" s="220">
        <f t="shared" si="8"/>
        <v>0.68691251623057559</v>
      </c>
      <c r="W40" s="220">
        <f t="shared" si="8"/>
        <v>-0.17152566693532156</v>
      </c>
      <c r="X40" s="221">
        <f t="shared" si="8"/>
        <v>0.83412031055333391</v>
      </c>
      <c r="Y40" s="217">
        <f t="shared" si="8"/>
        <v>2.6615224012939329</v>
      </c>
      <c r="Z40" s="217">
        <f t="shared" si="8"/>
        <v>3.1905041567599213E-3</v>
      </c>
      <c r="AA40" s="217">
        <f t="shared" si="8"/>
        <v>0.61641906621054487</v>
      </c>
      <c r="AB40" s="217">
        <f t="shared" si="8"/>
        <v>0.10000000000000009</v>
      </c>
    </row>
    <row r="41" spans="2:28" ht="15.75" thickBot="1" x14ac:dyDescent="0.3">
      <c r="B41" s="143" t="s">
        <v>91</v>
      </c>
      <c r="C41" s="144" t="s">
        <v>102</v>
      </c>
      <c r="D41" s="144" t="s">
        <v>97</v>
      </c>
      <c r="E41" s="146">
        <v>-7003.3081187464541</v>
      </c>
      <c r="F41" s="146">
        <v>-28938.810781787492</v>
      </c>
      <c r="G41" s="146">
        <v>-23792.57097420327</v>
      </c>
      <c r="H41" s="146">
        <v>-11658.349431034396</v>
      </c>
      <c r="I41" s="146">
        <v>-21950.203818919312</v>
      </c>
      <c r="J41" s="146">
        <v>-7060.5356151003152</v>
      </c>
      <c r="K41" s="146">
        <v>-16036.596803015907</v>
      </c>
      <c r="L41" s="146">
        <v>-6241.1874525926551</v>
      </c>
      <c r="M41" s="146">
        <v>-18582.426744171495</v>
      </c>
      <c r="Q41" s="197" t="s">
        <v>91</v>
      </c>
      <c r="R41" s="198" t="s">
        <v>102</v>
      </c>
      <c r="S41" s="198" t="s">
        <v>97</v>
      </c>
      <c r="T41" s="226">
        <f t="shared" si="9"/>
        <v>2.8999421103565126E-2</v>
      </c>
      <c r="U41" s="227">
        <f t="shared" si="8"/>
        <v>0.10000000000000009</v>
      </c>
      <c r="V41" s="222">
        <f t="shared" si="8"/>
        <v>-0.16453207089085331</v>
      </c>
      <c r="W41" s="222">
        <f t="shared" si="8"/>
        <v>-6.6940816592521046E-2</v>
      </c>
      <c r="X41" s="228">
        <f t="shared" si="8"/>
        <v>3.206330961146131E-2</v>
      </c>
      <c r="Y41" s="226">
        <f t="shared" si="8"/>
        <v>0.55280853998556445</v>
      </c>
      <c r="Z41" s="226">
        <f t="shared" si="8"/>
        <v>-0.54635013342532668</v>
      </c>
      <c r="AA41" s="226">
        <f t="shared" si="8"/>
        <v>-0.47990666445187813</v>
      </c>
      <c r="AB41" s="226">
        <f t="shared" si="8"/>
        <v>0.10000000000000009</v>
      </c>
    </row>
    <row r="43" spans="2:28" ht="15.75" x14ac:dyDescent="0.25">
      <c r="B43" s="151" t="s">
        <v>103</v>
      </c>
      <c r="C43" s="151"/>
      <c r="D43" s="151"/>
    </row>
    <row r="44" spans="2:28" x14ac:dyDescent="0.25">
      <c r="B44" s="56" t="s">
        <v>80</v>
      </c>
      <c r="C44" s="136" t="s">
        <v>101</v>
      </c>
      <c r="D44" s="136" t="s">
        <v>97</v>
      </c>
      <c r="E44" s="138">
        <v>21848.444344759217</v>
      </c>
      <c r="F44" s="138">
        <v>27067.980091644244</v>
      </c>
      <c r="G44" s="138">
        <v>13980.14780266956</v>
      </c>
      <c r="H44" s="138">
        <v>10236.395845811356</v>
      </c>
      <c r="I44" s="138">
        <v>11960.590843440637</v>
      </c>
      <c r="J44" s="138">
        <v>15226.697202624082</v>
      </c>
      <c r="K44" s="138">
        <v>18608.952682072384</v>
      </c>
      <c r="L44" s="138">
        <v>22917.3247753092</v>
      </c>
      <c r="M44" s="138">
        <v>17381.701464047786</v>
      </c>
    </row>
    <row r="45" spans="2:28" x14ac:dyDescent="0.25">
      <c r="B45" s="143" t="s">
        <v>88</v>
      </c>
      <c r="C45" s="144" t="s">
        <v>101</v>
      </c>
      <c r="D45" s="144" t="s">
        <v>97</v>
      </c>
      <c r="E45" s="146">
        <v>12368.754957880765</v>
      </c>
      <c r="F45" s="146">
        <v>3294.2756170023181</v>
      </c>
      <c r="G45" s="146">
        <v>7904.9556111063957</v>
      </c>
      <c r="H45" s="146">
        <v>5203.9040731782334</v>
      </c>
      <c r="I45" s="146">
        <v>8080.443931259284</v>
      </c>
      <c r="J45" s="146">
        <v>4922.0388844802928</v>
      </c>
      <c r="K45" s="146">
        <v>9402.5629492229418</v>
      </c>
      <c r="L45" s="146">
        <v>12584.269433956029</v>
      </c>
      <c r="M45" s="146">
        <v>2115.4356544608017</v>
      </c>
    </row>
    <row r="48" spans="2:28" ht="15.75" thickBot="1" x14ac:dyDescent="0.3">
      <c r="B48" s="213" t="s">
        <v>125</v>
      </c>
      <c r="C48" s="213"/>
      <c r="D48" s="213"/>
      <c r="Q48" s="213" t="s">
        <v>134</v>
      </c>
      <c r="R48" s="213"/>
      <c r="S48" s="213"/>
    </row>
    <row r="49" spans="2:28" ht="30.75" thickBot="1" x14ac:dyDescent="0.3">
      <c r="E49" s="134" t="s">
        <v>23</v>
      </c>
      <c r="F49" s="134" t="s">
        <v>24</v>
      </c>
      <c r="G49" s="134" t="s">
        <v>120</v>
      </c>
      <c r="H49" s="134" t="s">
        <v>121</v>
      </c>
      <c r="I49" s="134" t="s">
        <v>76</v>
      </c>
      <c r="J49" s="134" t="s">
        <v>77</v>
      </c>
      <c r="K49" s="134" t="s">
        <v>78</v>
      </c>
      <c r="L49" s="134" t="s">
        <v>79</v>
      </c>
      <c r="M49" s="134" t="s">
        <v>31</v>
      </c>
      <c r="T49" s="215" t="s">
        <v>23</v>
      </c>
      <c r="U49" s="215" t="s">
        <v>24</v>
      </c>
      <c r="V49" s="216" t="s">
        <v>120</v>
      </c>
      <c r="W49" s="216" t="s">
        <v>121</v>
      </c>
      <c r="X49" s="215" t="s">
        <v>76</v>
      </c>
      <c r="Y49" s="215" t="s">
        <v>77</v>
      </c>
      <c r="Z49" s="215" t="s">
        <v>78</v>
      </c>
      <c r="AA49" s="215" t="s">
        <v>79</v>
      </c>
      <c r="AB49" s="215" t="s">
        <v>31</v>
      </c>
    </row>
    <row r="50" spans="2:28" ht="16.5" thickBot="1" x14ac:dyDescent="0.3">
      <c r="B50" s="151" t="s">
        <v>95</v>
      </c>
      <c r="C50" s="151"/>
      <c r="D50" s="151"/>
      <c r="Q50" s="200" t="s">
        <v>95</v>
      </c>
      <c r="R50" s="200"/>
      <c r="S50" s="200"/>
      <c r="T50" s="196"/>
      <c r="U50" s="196"/>
      <c r="X50" s="196"/>
      <c r="Y50" s="196"/>
      <c r="Z50" s="196"/>
      <c r="AA50" s="196"/>
      <c r="AB50" s="196"/>
    </row>
    <row r="51" spans="2:28" x14ac:dyDescent="0.25">
      <c r="B51" s="56" t="s">
        <v>80</v>
      </c>
      <c r="C51" s="136" t="s">
        <v>96</v>
      </c>
      <c r="D51" s="136" t="s">
        <v>97</v>
      </c>
      <c r="E51" s="138">
        <v>30527.077437743694</v>
      </c>
      <c r="F51" s="138">
        <v>33131.541210906566</v>
      </c>
      <c r="G51" s="138">
        <v>23995.559831768875</v>
      </c>
      <c r="H51" s="138">
        <v>-28688.25502692696</v>
      </c>
      <c r="I51" s="138">
        <v>12325.628364168701</v>
      </c>
      <c r="J51" s="138">
        <v>-20625.440995042991</v>
      </c>
      <c r="K51" s="138">
        <v>27945.465822562343</v>
      </c>
      <c r="L51" s="138">
        <v>-33406.013380827113</v>
      </c>
      <c r="M51" s="138">
        <v>18881.650687638514</v>
      </c>
      <c r="Q51" s="190" t="s">
        <v>80</v>
      </c>
      <c r="R51" s="191" t="s">
        <v>96</v>
      </c>
      <c r="S51" s="191" t="s">
        <v>97</v>
      </c>
      <c r="T51" s="223">
        <f>ABS(E79)/ABS(E51)-1</f>
        <v>0.10220180980701521</v>
      </c>
      <c r="U51" s="223">
        <f>ABS(F79)/ABS(F51)-1</f>
        <v>-0.58003764716445927</v>
      </c>
      <c r="V51" s="223">
        <f>ABS(G79)/ABS(G51)-1</f>
        <v>0.12212426752183436</v>
      </c>
      <c r="W51" s="223">
        <f>ABS(H79)/ABS(H51)-1</f>
        <v>-9.5797218211683854E-2</v>
      </c>
      <c r="X51" s="223">
        <f>ABS(I79)/ABS(I51)-1</f>
        <v>-0.44335495138362957</v>
      </c>
      <c r="Y51" s="223">
        <f>ABS(J79)/ABS(J51)-1</f>
        <v>-0.58410586216985172</v>
      </c>
      <c r="Z51" s="223">
        <f>ABS(K79)/ABS(K51)-1</f>
        <v>-3.6462652976772314E-2</v>
      </c>
      <c r="AA51" s="223">
        <f>ABS(L79)/ABS(L51)-1</f>
        <v>-0.2238523135214634</v>
      </c>
      <c r="AB51" s="223">
        <f>ABS(M79)/ABS(M51)-1</f>
        <v>0.10000000000000009</v>
      </c>
    </row>
    <row r="52" spans="2:28" x14ac:dyDescent="0.25">
      <c r="B52" s="94" t="s">
        <v>80</v>
      </c>
      <c r="C52" s="129" t="s">
        <v>99</v>
      </c>
      <c r="D52" s="129" t="s">
        <v>97</v>
      </c>
      <c r="E52" s="142">
        <v>-6288.8099402112639</v>
      </c>
      <c r="F52" s="142">
        <v>53181.423943798269</v>
      </c>
      <c r="G52" s="142">
        <v>-7980.7938415235358</v>
      </c>
      <c r="H52" s="142">
        <v>-22885.255419715115</v>
      </c>
      <c r="I52" s="142">
        <v>-8344.5025083883811</v>
      </c>
      <c r="J52" s="142">
        <v>-27492.06666024946</v>
      </c>
      <c r="K52" s="142">
        <v>-16550.164262233167</v>
      </c>
      <c r="L52" s="142">
        <v>-7027.6649065603578</v>
      </c>
      <c r="M52" s="142">
        <v>39981.540855749918</v>
      </c>
      <c r="Q52" s="193" t="s">
        <v>80</v>
      </c>
      <c r="R52" s="194" t="s">
        <v>99</v>
      </c>
      <c r="S52" s="194" t="s">
        <v>97</v>
      </c>
      <c r="T52" s="217">
        <f>ABS(E80)/ABS(E52)-1</f>
        <v>-0.34693526453400325</v>
      </c>
      <c r="U52" s="217">
        <f>ABS(F80)/ABS(F52)-1</f>
        <v>-0.85959383096076802</v>
      </c>
      <c r="V52" s="217">
        <f>ABS(G80)/ABS(G52)-1</f>
        <v>-0.38164046108752669</v>
      </c>
      <c r="W52" s="217">
        <f>ABS(H80)/ABS(H52)-1</f>
        <v>-1.2783523355353044E-3</v>
      </c>
      <c r="X52" s="217">
        <f>ABS(I80)/ABS(I52)-1</f>
        <v>-0.58331847866248276</v>
      </c>
      <c r="Y52" s="217">
        <f>ABS(J80)/ABS(J52)-1</f>
        <v>-0.2292321904399266</v>
      </c>
      <c r="Z52" s="217">
        <f>ABS(K80)/ABS(K52)-1</f>
        <v>-0.55903760927293322</v>
      </c>
      <c r="AA52" s="217">
        <f>ABS(L80)/ABS(L52)-1</f>
        <v>3.8467271424293958E-2</v>
      </c>
      <c r="AB52" s="217">
        <f>ABS(M80)/ABS(M52)-1</f>
        <v>0.10000000000000009</v>
      </c>
    </row>
    <row r="53" spans="2:28" x14ac:dyDescent="0.25">
      <c r="B53" s="94" t="s">
        <v>88</v>
      </c>
      <c r="C53" s="129" t="s">
        <v>96</v>
      </c>
      <c r="D53" s="129" t="s">
        <v>97</v>
      </c>
      <c r="E53" s="142">
        <v>-13780.593245009448</v>
      </c>
      <c r="F53" s="142">
        <v>-4769.8288986608313</v>
      </c>
      <c r="G53" s="142">
        <v>-13631.52415736773</v>
      </c>
      <c r="H53" s="142">
        <v>6194.476796663299</v>
      </c>
      <c r="I53" s="142">
        <v>-8906.2652047252668</v>
      </c>
      <c r="J53" s="142">
        <v>1932.3429651291201</v>
      </c>
      <c r="K53" s="142">
        <v>-16234.111118336599</v>
      </c>
      <c r="L53" s="142">
        <v>11646.17333215078</v>
      </c>
      <c r="M53" s="142">
        <v>-14186.148469278052</v>
      </c>
      <c r="Q53" s="193" t="s">
        <v>88</v>
      </c>
      <c r="R53" s="194" t="s">
        <v>96</v>
      </c>
      <c r="S53" s="194" t="s">
        <v>97</v>
      </c>
      <c r="T53" s="217">
        <f>ABS(E81)/ABS(E53)-1</f>
        <v>0.10212962025421035</v>
      </c>
      <c r="U53" s="217">
        <f>ABS(F81)/ABS(F53)-1</f>
        <v>-8.9791268346870456E-3</v>
      </c>
      <c r="V53" s="217">
        <f>ABS(G81)/ABS(G53)-1</f>
        <v>-0.19040601237278887</v>
      </c>
      <c r="W53" s="217">
        <f>ABS(H81)/ABS(H53)-1</f>
        <v>0.90572995710611925</v>
      </c>
      <c r="X53" s="217">
        <f>ABS(I81)/ABS(I53)-1</f>
        <v>-0.15565056427802937</v>
      </c>
      <c r="Y53" s="217">
        <f>ABS(J81)/ABS(J53)-1</f>
        <v>-0.36294952696570404</v>
      </c>
      <c r="Z53" s="217">
        <f>ABS(K81)/ABS(K53)-1</f>
        <v>-0.32019684234298962</v>
      </c>
      <c r="AA53" s="217">
        <f>ABS(L81)/ABS(L53)-1</f>
        <v>1.3637669929809304E-2</v>
      </c>
      <c r="AB53" s="217">
        <f>ABS(M81)/ABS(M53)-1</f>
        <v>0.10000000000000009</v>
      </c>
    </row>
    <row r="54" spans="2:28" x14ac:dyDescent="0.25">
      <c r="B54" s="94" t="s">
        <v>88</v>
      </c>
      <c r="C54" s="129" t="s">
        <v>99</v>
      </c>
      <c r="D54" s="129" t="s">
        <v>97</v>
      </c>
      <c r="E54" s="142">
        <v>4248.3595097402012</v>
      </c>
      <c r="F54" s="142">
        <v>-28681.938408169</v>
      </c>
      <c r="G54" s="142">
        <v>10879.424930854571</v>
      </c>
      <c r="H54" s="142">
        <v>13711.585850735866</v>
      </c>
      <c r="I54" s="142">
        <v>10667.945358132465</v>
      </c>
      <c r="J54" s="142">
        <v>16457.770337214577</v>
      </c>
      <c r="K54" s="142">
        <v>13479.903241214308</v>
      </c>
      <c r="L54" s="142">
        <v>4366.3418312587482</v>
      </c>
      <c r="M54" s="142">
        <v>-19045.064135468278</v>
      </c>
      <c r="Q54" s="193" t="s">
        <v>88</v>
      </c>
      <c r="R54" s="194" t="s">
        <v>99</v>
      </c>
      <c r="S54" s="194" t="s">
        <v>97</v>
      </c>
      <c r="T54" s="217">
        <f>ABS(E82)/ABS(E54)-1</f>
        <v>-0.26559887579034092</v>
      </c>
      <c r="U54" s="217">
        <f>ABS(F82)/ABS(F54)-1</f>
        <v>-0.72623886544001348</v>
      </c>
      <c r="V54" s="217">
        <f>ABS(G82)/ABS(G54)-1</f>
        <v>-0.62461251160274289</v>
      </c>
      <c r="W54" s="217">
        <f>ABS(H82)/ABS(H54)-1</f>
        <v>0.1491741488935332</v>
      </c>
      <c r="X54" s="217">
        <f>ABS(I82)/ABS(I54)-1</f>
        <v>-0.67650752941200543</v>
      </c>
      <c r="Y54" s="217">
        <f>ABS(J82)/ABS(J54)-1</f>
        <v>-0.20499558980876975</v>
      </c>
      <c r="Z54" s="217">
        <f>ABS(K82)/ABS(K54)-1</f>
        <v>-0.43857163775025343</v>
      </c>
      <c r="AA54" s="217">
        <f>ABS(L82)/ABS(L54)-1</f>
        <v>-0.3421953408599735</v>
      </c>
      <c r="AB54" s="217">
        <f>ABS(M82)/ABS(M54)-1</f>
        <v>0.10000000000000009</v>
      </c>
    </row>
    <row r="55" spans="2:28" x14ac:dyDescent="0.25">
      <c r="B55" s="94" t="s">
        <v>89</v>
      </c>
      <c r="C55" s="129" t="s">
        <v>101</v>
      </c>
      <c r="D55" s="129" t="s">
        <v>97</v>
      </c>
      <c r="E55" s="142">
        <v>-3404.0146168716724</v>
      </c>
      <c r="F55" s="142">
        <v>-1698.7984152994727</v>
      </c>
      <c r="G55" s="142">
        <v>-4326.9581197418584</v>
      </c>
      <c r="H55" s="142">
        <v>-2495.5086626505627</v>
      </c>
      <c r="I55" s="142">
        <v>-3012.778507827119</v>
      </c>
      <c r="J55" s="142">
        <v>-1576.1741923217116</v>
      </c>
      <c r="K55" s="142">
        <v>-4201.5259748096287</v>
      </c>
      <c r="L55" s="142">
        <v>-3256.4234856719727</v>
      </c>
      <c r="M55" s="142">
        <v>5841.6693868790617</v>
      </c>
      <c r="Q55" s="193" t="s">
        <v>89</v>
      </c>
      <c r="R55" s="194" t="s">
        <v>101</v>
      </c>
      <c r="S55" s="194" t="s">
        <v>97</v>
      </c>
      <c r="T55" s="217">
        <f>ABS(E83)/ABS(E55)-1</f>
        <v>-9.4892253185600683E-2</v>
      </c>
      <c r="U55" s="217">
        <f>ABS(F83)/ABS(F55)-1</f>
        <v>2.1021926748565858</v>
      </c>
      <c r="V55" s="217">
        <f>ABS(G83)/ABS(G55)-1</f>
        <v>-0.17216670444369864</v>
      </c>
      <c r="W55" s="217">
        <f>ABS(H83)/ABS(H55)-1</f>
        <v>0.43537870800073231</v>
      </c>
      <c r="X55" s="217">
        <f>ABS(I83)/ABS(I55)-1</f>
        <v>-8.5229799389505478E-2</v>
      </c>
      <c r="Y55" s="217">
        <f>ABS(J83)/ABS(J55)-1</f>
        <v>-0.13968899718970407</v>
      </c>
      <c r="Z55" s="217">
        <f>ABS(K83)/ABS(K55)-1</f>
        <v>0.24097769031077965</v>
      </c>
      <c r="AA55" s="217">
        <f>ABS(L83)/ABS(L55)-1</f>
        <v>-0.48471075479492198</v>
      </c>
      <c r="AB55" s="217">
        <f>ABS(M83)/ABS(M55)-1</f>
        <v>0.10000000000000009</v>
      </c>
    </row>
    <row r="56" spans="2:28" ht="15.75" thickBot="1" x14ac:dyDescent="0.3">
      <c r="B56" s="143" t="s">
        <v>91</v>
      </c>
      <c r="C56" s="144" t="s">
        <v>102</v>
      </c>
      <c r="D56" s="144" t="s">
        <v>97</v>
      </c>
      <c r="E56" s="146">
        <v>-12152.551087471305</v>
      </c>
      <c r="F56" s="146">
        <v>-53650.788584698363</v>
      </c>
      <c r="G56" s="146">
        <v>-35878.075714285456</v>
      </c>
      <c r="H56" s="146">
        <v>-23628.972164696457</v>
      </c>
      <c r="I56" s="146">
        <v>-28650.112585468141</v>
      </c>
      <c r="J56" s="146">
        <v>-22573.540490804717</v>
      </c>
      <c r="K56" s="146">
        <v>-20935.606550563563</v>
      </c>
      <c r="L56" s="146">
        <v>-16938.870152699088</v>
      </c>
      <c r="M56" s="146">
        <v>-38258.771138132492</v>
      </c>
      <c r="Q56" s="197" t="s">
        <v>91</v>
      </c>
      <c r="R56" s="198" t="s">
        <v>102</v>
      </c>
      <c r="S56" s="198" t="s">
        <v>97</v>
      </c>
      <c r="T56" s="226">
        <f>ABS(E84)/ABS(E56)-1</f>
        <v>-0.11623494337148499</v>
      </c>
      <c r="U56" s="226">
        <f>ABS(F84)/ABS(F56)-1</f>
        <v>-5.3956123685458324E-2</v>
      </c>
      <c r="V56" s="226">
        <f>ABS(G84)/ABS(G56)-1</f>
        <v>-6.1989827213612347E-2</v>
      </c>
      <c r="W56" s="226">
        <f>ABS(H84)/ABS(H56)-1</f>
        <v>-0.63604003000819997</v>
      </c>
      <c r="X56" s="226">
        <f>ABS(I84)/ABS(I56)-1</f>
        <v>-0.31385958985826479</v>
      </c>
      <c r="Y56" s="226">
        <f>ABS(J84)/ABS(J56)-1</f>
        <v>-0.26320817920542816</v>
      </c>
      <c r="Z56" s="226">
        <f>ABS(K84)/ABS(K56)-1</f>
        <v>-0.25208758761381556</v>
      </c>
      <c r="AA56" s="226">
        <f>ABS(L84)/ABS(L56)-1</f>
        <v>-0.32108813065270725</v>
      </c>
      <c r="AB56" s="226">
        <f>ABS(M84)/ABS(M56)-1</f>
        <v>0.10000000000000009</v>
      </c>
    </row>
    <row r="58" spans="2:28" ht="15.75" x14ac:dyDescent="0.25">
      <c r="B58" s="151" t="s">
        <v>103</v>
      </c>
      <c r="C58" s="151"/>
      <c r="D58" s="151"/>
    </row>
    <row r="59" spans="2:28" x14ac:dyDescent="0.25">
      <c r="B59" s="56" t="s">
        <v>80</v>
      </c>
      <c r="C59" s="136" t="s">
        <v>101</v>
      </c>
      <c r="D59" s="136" t="s">
        <v>97</v>
      </c>
      <c r="E59" s="138">
        <v>26821.125184602155</v>
      </c>
      <c r="F59" s="138">
        <v>78990.734753893761</v>
      </c>
      <c r="G59" s="138">
        <v>19698.46235950664</v>
      </c>
      <c r="H59" s="138">
        <v>46997.8306109931</v>
      </c>
      <c r="I59" s="138">
        <v>9300.8488549217927</v>
      </c>
      <c r="J59" s="138">
        <v>43883.59738484984</v>
      </c>
      <c r="K59" s="138">
        <v>21156.025059044056</v>
      </c>
      <c r="L59" s="138">
        <v>38387.57398923381</v>
      </c>
      <c r="M59" s="138">
        <v>54279.233310447562</v>
      </c>
    </row>
    <row r="60" spans="2:28" x14ac:dyDescent="0.25">
      <c r="B60" s="143" t="s">
        <v>88</v>
      </c>
      <c r="C60" s="144" t="s">
        <v>101</v>
      </c>
      <c r="D60" s="144" t="s">
        <v>97</v>
      </c>
      <c r="E60" s="146">
        <v>11083.172666975825</v>
      </c>
      <c r="F60" s="146">
        <v>32315.749012246335</v>
      </c>
      <c r="G60" s="146">
        <v>9410.9171596821525</v>
      </c>
      <c r="H60" s="146">
        <v>18704.719959948608</v>
      </c>
      <c r="I60" s="146">
        <v>7415.5389544927884</v>
      </c>
      <c r="J60" s="146">
        <v>17911.699569409488</v>
      </c>
      <c r="K60" s="146">
        <v>11273.302120053379</v>
      </c>
      <c r="L60" s="146">
        <v>15120.552326978666</v>
      </c>
      <c r="M60" s="146">
        <v>30931.60553125072</v>
      </c>
    </row>
    <row r="63" spans="2:28" ht="15.75" thickBot="1" x14ac:dyDescent="0.3">
      <c r="B63" s="212" t="s">
        <v>126</v>
      </c>
      <c r="C63" s="212"/>
      <c r="D63" s="212"/>
      <c r="G63" t="s">
        <v>128</v>
      </c>
      <c r="H63" t="s">
        <v>129</v>
      </c>
      <c r="I63" t="s">
        <v>128</v>
      </c>
      <c r="J63" t="s">
        <v>129</v>
      </c>
      <c r="K63" t="s">
        <v>128</v>
      </c>
      <c r="L63" t="s">
        <v>129</v>
      </c>
      <c r="Q63" s="212" t="s">
        <v>135</v>
      </c>
      <c r="R63" s="212"/>
      <c r="S63" s="212"/>
    </row>
    <row r="64" spans="2:28" ht="30.75" thickBot="1" x14ac:dyDescent="0.3">
      <c r="E64" s="134" t="s">
        <v>23</v>
      </c>
      <c r="F64" s="134" t="s">
        <v>24</v>
      </c>
      <c r="G64" s="134" t="s">
        <v>120</v>
      </c>
      <c r="H64" s="134" t="s">
        <v>121</v>
      </c>
      <c r="I64" s="134" t="s">
        <v>76</v>
      </c>
      <c r="J64" s="134" t="s">
        <v>77</v>
      </c>
      <c r="K64" s="134" t="s">
        <v>78</v>
      </c>
      <c r="L64" s="134" t="s">
        <v>79</v>
      </c>
      <c r="M64" s="134" t="s">
        <v>31</v>
      </c>
      <c r="Q64" s="132"/>
      <c r="R64" s="132"/>
      <c r="S64" s="132"/>
      <c r="T64" s="215" t="s">
        <v>23</v>
      </c>
      <c r="U64" s="215" t="s">
        <v>24</v>
      </c>
      <c r="V64" s="216" t="s">
        <v>120</v>
      </c>
      <c r="W64" s="216" t="s">
        <v>121</v>
      </c>
      <c r="X64" s="215" t="s">
        <v>76</v>
      </c>
      <c r="Y64" s="215" t="s">
        <v>77</v>
      </c>
      <c r="Z64" s="215" t="s">
        <v>78</v>
      </c>
      <c r="AA64" s="215" t="s">
        <v>79</v>
      </c>
      <c r="AB64" s="215" t="s">
        <v>31</v>
      </c>
    </row>
    <row r="65" spans="1:28" ht="16.5" thickBot="1" x14ac:dyDescent="0.3">
      <c r="B65" s="151" t="s">
        <v>95</v>
      </c>
      <c r="C65" s="151"/>
      <c r="D65" s="151"/>
      <c r="Q65" s="200" t="s">
        <v>95</v>
      </c>
      <c r="R65" s="200"/>
      <c r="S65" s="200"/>
      <c r="T65" s="196"/>
      <c r="U65" s="196"/>
      <c r="X65" s="196"/>
      <c r="Y65" s="196"/>
      <c r="Z65" s="196"/>
      <c r="AA65" s="196"/>
      <c r="AB65" s="196"/>
    </row>
    <row r="66" spans="1:28" x14ac:dyDescent="0.25">
      <c r="A66" s="214" t="s">
        <v>130</v>
      </c>
      <c r="B66" s="56" t="s">
        <v>80</v>
      </c>
      <c r="C66" s="136" t="s">
        <v>96</v>
      </c>
      <c r="D66" s="136" t="s">
        <v>97</v>
      </c>
      <c r="E66" s="138">
        <v>-32041.4</v>
      </c>
      <c r="F66" s="138">
        <f>F36*1.1</f>
        <v>16441.098516998562</v>
      </c>
      <c r="G66" s="138">
        <v>1605</v>
      </c>
      <c r="H66" s="138">
        <v>13954</v>
      </c>
      <c r="I66" s="138">
        <v>-5270</v>
      </c>
      <c r="J66" s="138">
        <v>6563</v>
      </c>
      <c r="K66" s="138">
        <v>21010</v>
      </c>
      <c r="L66" s="138">
        <v>25637</v>
      </c>
      <c r="M66" s="138">
        <f>M36*1.1</f>
        <v>10557.787503579102</v>
      </c>
      <c r="Q66" s="190" t="s">
        <v>80</v>
      </c>
      <c r="R66" s="191" t="s">
        <v>96</v>
      </c>
      <c r="S66" s="191" t="s">
        <v>97</v>
      </c>
      <c r="T66" s="223">
        <f>ABS(E36)/ABS(E5) - 1</f>
        <v>-0.18606419511834438</v>
      </c>
      <c r="U66" s="224">
        <f t="shared" ref="U66:AB71" si="10">ABS(F36)/ABS(F5) - 1</f>
        <v>-1.1107908198381589E-2</v>
      </c>
      <c r="V66" s="218"/>
      <c r="W66" s="218"/>
      <c r="X66" s="225">
        <f t="shared" si="10"/>
        <v>-0.3464418300186215</v>
      </c>
      <c r="Y66" s="223">
        <f t="shared" si="10"/>
        <v>0.90404859109003621</v>
      </c>
      <c r="Z66" s="223">
        <f t="shared" si="10"/>
        <v>9.1558502208854975E-4</v>
      </c>
      <c r="AA66" s="223">
        <f t="shared" si="10"/>
        <v>9.5941109682406989E-4</v>
      </c>
      <c r="AB66" s="223">
        <f t="shared" si="10"/>
        <v>-0.16525159109987575</v>
      </c>
    </row>
    <row r="67" spans="1:28" x14ac:dyDescent="0.25">
      <c r="A67" s="214"/>
      <c r="B67" s="94" t="s">
        <v>80</v>
      </c>
      <c r="C67" s="129" t="s">
        <v>99</v>
      </c>
      <c r="D67" s="129" t="s">
        <v>97</v>
      </c>
      <c r="E67" s="142">
        <v>-17431.7</v>
      </c>
      <c r="F67" s="142">
        <f t="shared" ref="F67:F71" si="11">F37*1.1</f>
        <v>18510.443962559475</v>
      </c>
      <c r="G67" s="142">
        <v>-13402.65</v>
      </c>
      <c r="H67" s="142">
        <v>-705</v>
      </c>
      <c r="I67" s="142">
        <v>-5606</v>
      </c>
      <c r="J67" s="142">
        <v>6204</v>
      </c>
      <c r="K67" s="142">
        <v>-15280</v>
      </c>
      <c r="L67" s="142">
        <v>-10387</v>
      </c>
      <c r="M67" s="142">
        <f t="shared" ref="M67:M71" si="12">M37*1.1</f>
        <v>11886.354614508104</v>
      </c>
      <c r="Q67" s="193" t="s">
        <v>80</v>
      </c>
      <c r="R67" s="194" t="s">
        <v>99</v>
      </c>
      <c r="S67" s="194" t="s">
        <v>97</v>
      </c>
      <c r="T67" s="217">
        <f t="shared" ref="T67:T71" si="13">ABS(E37)/ABS(E6) - 1</f>
        <v>-3.583768929714426E-2</v>
      </c>
      <c r="U67" s="219">
        <f t="shared" si="10"/>
        <v>-1.1084662665895362E-2</v>
      </c>
      <c r="V67" s="220"/>
      <c r="W67" s="220"/>
      <c r="X67" s="221">
        <f t="shared" si="10"/>
        <v>0.75131722231018427</v>
      </c>
      <c r="Y67" s="217">
        <f t="shared" si="10"/>
        <v>-0.13224888669405788</v>
      </c>
      <c r="Z67" s="217">
        <f t="shared" si="10"/>
        <v>1.2869782205686686E-3</v>
      </c>
      <c r="AA67" s="217">
        <f t="shared" si="10"/>
        <v>1.5531293044024341E-3</v>
      </c>
      <c r="AB67" s="217">
        <f t="shared" si="10"/>
        <v>-0.16525164641129531</v>
      </c>
    </row>
    <row r="68" spans="1:28" x14ac:dyDescent="0.25">
      <c r="A68" s="214"/>
      <c r="B68" s="94" t="s">
        <v>88</v>
      </c>
      <c r="C68" s="129" t="s">
        <v>96</v>
      </c>
      <c r="D68" s="129" t="s">
        <v>97</v>
      </c>
      <c r="E68" s="142">
        <v>-16690</v>
      </c>
      <c r="F68" s="142">
        <f t="shared" si="11"/>
        <v>-2166.8708727410044</v>
      </c>
      <c r="G68" s="142">
        <v>-4404.3</v>
      </c>
      <c r="H68" s="142">
        <v>-5363.44</v>
      </c>
      <c r="I68" s="142">
        <v>1120</v>
      </c>
      <c r="J68" s="142">
        <v>-1904</v>
      </c>
      <c r="K68" s="142">
        <v>-11692</v>
      </c>
      <c r="L68" s="142">
        <v>-12150</v>
      </c>
      <c r="M68" s="142">
        <f t="shared" si="12"/>
        <v>-1391.4751295273086</v>
      </c>
      <c r="Q68" s="193" t="s">
        <v>88</v>
      </c>
      <c r="R68" s="194" t="s">
        <v>96</v>
      </c>
      <c r="S68" s="194" t="s">
        <v>97</v>
      </c>
      <c r="T68" s="217">
        <f t="shared" si="13"/>
        <v>-0.14945555560959445</v>
      </c>
      <c r="U68" s="219">
        <f t="shared" si="10"/>
        <v>-1.1086085065839857E-2</v>
      </c>
      <c r="V68" s="220"/>
      <c r="W68" s="220"/>
      <c r="X68" s="221">
        <f t="shared" si="10"/>
        <v>-0.21129959564071221</v>
      </c>
      <c r="Y68" s="217">
        <f t="shared" si="10"/>
        <v>1.5527478994878008</v>
      </c>
      <c r="Z68" s="217">
        <f t="shared" si="10"/>
        <v>1.0948644294899168E-3</v>
      </c>
      <c r="AA68" s="217">
        <f t="shared" si="10"/>
        <v>1.1029781795557358E-3</v>
      </c>
      <c r="AB68" s="217">
        <f t="shared" si="10"/>
        <v>-0.16523253232282753</v>
      </c>
    </row>
    <row r="69" spans="1:28" x14ac:dyDescent="0.25">
      <c r="A69" s="214"/>
      <c r="B69" s="94" t="s">
        <v>88</v>
      </c>
      <c r="C69" s="129" t="s">
        <v>99</v>
      </c>
      <c r="D69" s="129" t="s">
        <v>97</v>
      </c>
      <c r="E69" s="142">
        <v>10738.5</v>
      </c>
      <c r="F69" s="142">
        <f t="shared" si="11"/>
        <v>-2036.7308168788531</v>
      </c>
      <c r="G69" s="142">
        <v>5460.6</v>
      </c>
      <c r="H69" s="142">
        <v>2588.36</v>
      </c>
      <c r="I69" s="142">
        <v>2215</v>
      </c>
      <c r="J69" s="142">
        <v>-1328.5</v>
      </c>
      <c r="K69" s="142">
        <v>8247.7999999999993</v>
      </c>
      <c r="L69" s="142">
        <v>7671</v>
      </c>
      <c r="M69" s="142">
        <f t="shared" si="12"/>
        <v>-1307.8873477647073</v>
      </c>
      <c r="Q69" s="193" t="s">
        <v>88</v>
      </c>
      <c r="R69" s="194" t="s">
        <v>99</v>
      </c>
      <c r="S69" s="194" t="s">
        <v>97</v>
      </c>
      <c r="T69" s="217">
        <f t="shared" si="13"/>
        <v>-0.11829946618175247</v>
      </c>
      <c r="U69" s="219">
        <f t="shared" si="10"/>
        <v>-1.1093427888224872E-2</v>
      </c>
      <c r="V69" s="220"/>
      <c r="W69" s="220"/>
      <c r="X69" s="221">
        <f t="shared" si="10"/>
        <v>0.67001256067425485</v>
      </c>
      <c r="Y69" s="217">
        <f t="shared" si="10"/>
        <v>-0.67861467339597148</v>
      </c>
      <c r="Z69" s="217">
        <f t="shared" si="10"/>
        <v>1.1355032316742175E-3</v>
      </c>
      <c r="AA69" s="217">
        <f t="shared" si="10"/>
        <v>1.1895924555380688E-3</v>
      </c>
      <c r="AB69" s="217">
        <f t="shared" si="10"/>
        <v>-0.16524971083076989</v>
      </c>
    </row>
    <row r="70" spans="1:28" x14ac:dyDescent="0.25">
      <c r="A70" s="214"/>
      <c r="B70" s="94" t="s">
        <v>89</v>
      </c>
      <c r="C70" s="129" t="s">
        <v>101</v>
      </c>
      <c r="D70" s="129" t="s">
        <v>97</v>
      </c>
      <c r="E70" s="142">
        <v>2963.5</v>
      </c>
      <c r="F70" s="142">
        <f t="shared" si="11"/>
        <v>-2152.8060224657956</v>
      </c>
      <c r="G70" s="142">
        <v>7363.22</v>
      </c>
      <c r="H70" s="142">
        <v>2131.27</v>
      </c>
      <c r="I70" s="142">
        <v>5071.97</v>
      </c>
      <c r="J70" s="142">
        <v>-1725</v>
      </c>
      <c r="K70" s="142">
        <v>5631</v>
      </c>
      <c r="L70" s="142">
        <v>5631</v>
      </c>
      <c r="M70" s="142">
        <f t="shared" si="12"/>
        <v>-1382.4199195202052</v>
      </c>
      <c r="Q70" s="193" t="s">
        <v>89</v>
      </c>
      <c r="R70" s="194" t="s">
        <v>101</v>
      </c>
      <c r="S70" s="194" t="s">
        <v>97</v>
      </c>
      <c r="T70" s="217">
        <f t="shared" si="13"/>
        <v>-0.10228337003918542</v>
      </c>
      <c r="U70" s="219">
        <f t="shared" si="10"/>
        <v>-1.10970674905847E-2</v>
      </c>
      <c r="V70" s="220"/>
      <c r="W70" s="220"/>
      <c r="X70" s="221">
        <f t="shared" si="10"/>
        <v>0.77242927514668391</v>
      </c>
      <c r="Y70" s="217">
        <f t="shared" si="10"/>
        <v>-0.52518707028336231</v>
      </c>
      <c r="Z70" s="217">
        <f t="shared" si="10"/>
        <v>1.177472041749672E-3</v>
      </c>
      <c r="AA70" s="217">
        <f t="shared" si="10"/>
        <v>1.2399426022302595E-3</v>
      </c>
      <c r="AB70" s="217">
        <f t="shared" si="10"/>
        <v>-0.16525589808070063</v>
      </c>
    </row>
    <row r="71" spans="1:28" ht="15.75" thickBot="1" x14ac:dyDescent="0.3">
      <c r="A71" s="214"/>
      <c r="B71" s="143" t="s">
        <v>91</v>
      </c>
      <c r="C71" s="144" t="s">
        <v>102</v>
      </c>
      <c r="D71" s="144" t="s">
        <v>97</v>
      </c>
      <c r="E71" s="146">
        <v>-7206.4</v>
      </c>
      <c r="F71" s="146">
        <f t="shared" si="11"/>
        <v>-31832.691859966242</v>
      </c>
      <c r="G71" s="146">
        <v>-19877.93</v>
      </c>
      <c r="H71" s="146">
        <v>-10877.93</v>
      </c>
      <c r="I71" s="146">
        <v>-22654</v>
      </c>
      <c r="J71" s="146">
        <v>-10963.66</v>
      </c>
      <c r="K71" s="146">
        <v>-7275</v>
      </c>
      <c r="L71" s="146">
        <v>-3246</v>
      </c>
      <c r="M71" s="146">
        <f t="shared" si="12"/>
        <v>-20440.669418588644</v>
      </c>
      <c r="Q71" s="197" t="s">
        <v>91</v>
      </c>
      <c r="R71" s="198" t="s">
        <v>102</v>
      </c>
      <c r="S71" s="198" t="s">
        <v>97</v>
      </c>
      <c r="T71" s="226">
        <f t="shared" si="13"/>
        <v>-0.38006043940433265</v>
      </c>
      <c r="U71" s="227">
        <f t="shared" si="10"/>
        <v>-1.1086784544801831E-2</v>
      </c>
      <c r="V71" s="222"/>
      <c r="W71" s="222"/>
      <c r="X71" s="228">
        <f t="shared" si="10"/>
        <v>0.32883314250101203</v>
      </c>
      <c r="Y71" s="226">
        <f t="shared" si="10"/>
        <v>0.47865644210509029</v>
      </c>
      <c r="Z71" s="226">
        <f t="shared" si="10"/>
        <v>5.9327179110701955E-4</v>
      </c>
      <c r="AA71" s="226">
        <f t="shared" si="10"/>
        <v>-4.6355559327082574E-5</v>
      </c>
      <c r="AB71" s="226">
        <f t="shared" si="10"/>
        <v>-0.16527284699216682</v>
      </c>
    </row>
    <row r="76" spans="1:28" ht="15.75" thickBot="1" x14ac:dyDescent="0.3">
      <c r="B76" s="213" t="s">
        <v>127</v>
      </c>
      <c r="C76" s="213"/>
      <c r="D76" s="213"/>
      <c r="Q76" s="213" t="s">
        <v>136</v>
      </c>
      <c r="R76" s="213"/>
      <c r="S76" s="213"/>
    </row>
    <row r="77" spans="1:28" ht="30.75" thickBot="1" x14ac:dyDescent="0.3">
      <c r="E77" s="134" t="s">
        <v>23</v>
      </c>
      <c r="F77" s="134" t="s">
        <v>24</v>
      </c>
      <c r="G77" s="134" t="s">
        <v>120</v>
      </c>
      <c r="H77" s="134" t="s">
        <v>121</v>
      </c>
      <c r="I77" s="134" t="s">
        <v>76</v>
      </c>
      <c r="J77" s="134" t="s">
        <v>77</v>
      </c>
      <c r="K77" s="134" t="s">
        <v>78</v>
      </c>
      <c r="L77" s="134" t="s">
        <v>79</v>
      </c>
      <c r="M77" s="134" t="s">
        <v>31</v>
      </c>
      <c r="T77" s="215" t="s">
        <v>23</v>
      </c>
      <c r="U77" s="215" t="s">
        <v>24</v>
      </c>
      <c r="V77" s="216" t="s">
        <v>120</v>
      </c>
      <c r="W77" s="216" t="s">
        <v>121</v>
      </c>
      <c r="X77" s="215" t="s">
        <v>76</v>
      </c>
      <c r="Y77" s="215" t="s">
        <v>77</v>
      </c>
      <c r="Z77" s="215" t="s">
        <v>78</v>
      </c>
      <c r="AA77" s="215" t="s">
        <v>79</v>
      </c>
      <c r="AB77" s="215" t="s">
        <v>31</v>
      </c>
    </row>
    <row r="78" spans="1:28" ht="16.5" thickBot="1" x14ac:dyDescent="0.3">
      <c r="B78" s="151" t="s">
        <v>95</v>
      </c>
      <c r="C78" s="151"/>
      <c r="D78" s="151"/>
      <c r="Q78" s="200" t="s">
        <v>95</v>
      </c>
      <c r="R78" s="200"/>
      <c r="S78" s="200"/>
      <c r="T78" s="196"/>
      <c r="U78" s="196"/>
      <c r="X78" s="196"/>
      <c r="Y78" s="196"/>
      <c r="Z78" s="196"/>
      <c r="AA78" s="196"/>
      <c r="AB78" s="196"/>
    </row>
    <row r="79" spans="1:28" ht="15" customHeight="1" x14ac:dyDescent="0.25">
      <c r="A79" s="214" t="s">
        <v>130</v>
      </c>
      <c r="B79" s="56" t="s">
        <v>80</v>
      </c>
      <c r="C79" s="136" t="s">
        <v>96</v>
      </c>
      <c r="D79" s="136" t="s">
        <v>97</v>
      </c>
      <c r="E79" s="138">
        <v>33647</v>
      </c>
      <c r="F79" s="138">
        <v>13914</v>
      </c>
      <c r="G79" s="138">
        <v>26926</v>
      </c>
      <c r="H79" s="138">
        <v>-25940</v>
      </c>
      <c r="I79" s="138">
        <v>6861</v>
      </c>
      <c r="J79" s="138">
        <v>-8578</v>
      </c>
      <c r="K79" s="138">
        <v>26926.5</v>
      </c>
      <c r="L79" s="138">
        <v>-25928</v>
      </c>
      <c r="M79" s="138">
        <f>M51*1.1</f>
        <v>20769.815756402368</v>
      </c>
      <c r="Q79" s="190" t="s">
        <v>80</v>
      </c>
      <c r="R79" s="191" t="s">
        <v>96</v>
      </c>
      <c r="S79" s="191" t="s">
        <v>97</v>
      </c>
      <c r="T79" s="223">
        <f>ABS(E51)/ABS(E20) - 1</f>
        <v>-0.21561362562883313</v>
      </c>
      <c r="U79" s="223">
        <f>ABS(F51)/ABS(F20) - 1</f>
        <v>-3.1596413497751219E-2</v>
      </c>
      <c r="V79" s="223"/>
      <c r="W79" s="223"/>
      <c r="X79" s="223">
        <f>ABS(I51)/ABS(I20) - 1</f>
        <v>0.60396535675630814</v>
      </c>
      <c r="Y79" s="223">
        <f>ABS(J51)/ABS(J20) - 1</f>
        <v>0.40071120998653553</v>
      </c>
      <c r="Z79" s="223">
        <f>ABS(K51)/ABS(K20) - 1</f>
        <v>-3.7556652713149341E-2</v>
      </c>
      <c r="AA79" s="223">
        <f>ABS(L51)/ABS(L20) - 1</f>
        <v>-4.2880911223503348E-2</v>
      </c>
      <c r="AB79" s="223">
        <f>ABS(M51)/ABS(M20) - 1</f>
        <v>-0.21342216673664127</v>
      </c>
    </row>
    <row r="80" spans="1:28" x14ac:dyDescent="0.25">
      <c r="A80" s="214"/>
      <c r="B80" s="94" t="s">
        <v>80</v>
      </c>
      <c r="C80" s="129" t="s">
        <v>99</v>
      </c>
      <c r="D80" s="129" t="s">
        <v>97</v>
      </c>
      <c r="E80" s="142">
        <v>-4107</v>
      </c>
      <c r="F80" s="142">
        <v>7467</v>
      </c>
      <c r="G80" s="142">
        <v>-4935</v>
      </c>
      <c r="H80" s="142">
        <v>-22856</v>
      </c>
      <c r="I80" s="142">
        <v>-3477</v>
      </c>
      <c r="J80" s="142">
        <v>-21190</v>
      </c>
      <c r="K80" s="142">
        <v>-7298</v>
      </c>
      <c r="L80" s="142">
        <v>-7298</v>
      </c>
      <c r="M80" s="142">
        <f>M52*1.1</f>
        <v>43979.694941324909</v>
      </c>
      <c r="Q80" s="193" t="s">
        <v>80</v>
      </c>
      <c r="R80" s="194" t="s">
        <v>99</v>
      </c>
      <c r="S80" s="194" t="s">
        <v>97</v>
      </c>
      <c r="T80" s="217">
        <f>ABS(E52)/ABS(E21) - 1</f>
        <v>0.91083432639691386</v>
      </c>
      <c r="U80" s="217">
        <f>ABS(F52)/ABS(F21) - 1</f>
        <v>5.5690922385489117E-2</v>
      </c>
      <c r="V80" s="217"/>
      <c r="W80" s="217"/>
      <c r="X80" s="217">
        <f>ABS(I52)/ABS(I21) - 1</f>
        <v>4.0713383324579393</v>
      </c>
      <c r="Y80" s="217">
        <f>ABS(J52)/ABS(J21) - 1</f>
        <v>-4.3100278411618898E-2</v>
      </c>
      <c r="Z80" s="217">
        <f>ABS(K52)/ABS(K21) - 1</f>
        <v>0.21355057259711785</v>
      </c>
      <c r="AA80" s="217">
        <f>ABS(L52)/ABS(L21) - 1</f>
        <v>-0.21322999306785528</v>
      </c>
      <c r="AB80" s="217">
        <f>ABS(M52)/ABS(M21) - 1</f>
        <v>-9.5589660128193255E-2</v>
      </c>
    </row>
    <row r="81" spans="1:28" x14ac:dyDescent="0.25">
      <c r="A81" s="214"/>
      <c r="B81" s="94" t="s">
        <v>88</v>
      </c>
      <c r="C81" s="129" t="s">
        <v>96</v>
      </c>
      <c r="D81" s="129" t="s">
        <v>97</v>
      </c>
      <c r="E81" s="142">
        <v>-15188</v>
      </c>
      <c r="F81" s="142">
        <v>-4727</v>
      </c>
      <c r="G81" s="142">
        <v>-11036</v>
      </c>
      <c r="H81" s="142">
        <v>11805</v>
      </c>
      <c r="I81" s="142">
        <v>-7520</v>
      </c>
      <c r="J81" s="142">
        <v>1231</v>
      </c>
      <c r="K81" s="142">
        <v>-11036</v>
      </c>
      <c r="L81" s="142">
        <v>11805</v>
      </c>
      <c r="M81" s="142">
        <f>M53*1.1</f>
        <v>-15604.763316205859</v>
      </c>
      <c r="Q81" s="193" t="s">
        <v>88</v>
      </c>
      <c r="R81" s="194" t="s">
        <v>96</v>
      </c>
      <c r="S81" s="194" t="s">
        <v>97</v>
      </c>
      <c r="T81" s="217">
        <f>ABS(E53)/ABS(E22) - 1</f>
        <v>-0.13034434366513659</v>
      </c>
      <c r="U81" s="217">
        <f>ABS(F53)/ABS(F22) - 1</f>
        <v>0.29050120920775369</v>
      </c>
      <c r="V81" s="217"/>
      <c r="W81" s="217"/>
      <c r="X81" s="217">
        <f>ABS(I53)/ABS(I22) - 1</f>
        <v>0.3329017372056764</v>
      </c>
      <c r="Y81" s="217">
        <f>ABS(J53)/ABS(J22) - 1</f>
        <v>1.6482158726337204</v>
      </c>
      <c r="Z81" s="217">
        <f>ABS(K53)/ABS(K22) - 1</f>
        <v>3.6105108552385357E-2</v>
      </c>
      <c r="AA81" s="217">
        <f>ABS(L53)/ABS(L22) - 1</f>
        <v>8.7585390443028155E-2</v>
      </c>
      <c r="AB81" s="217">
        <f>ABS(M53)/ABS(M22) - 1</f>
        <v>4.2599225295656851E-2</v>
      </c>
    </row>
    <row r="82" spans="1:28" x14ac:dyDescent="0.25">
      <c r="A82" s="214"/>
      <c r="B82" s="94" t="s">
        <v>88</v>
      </c>
      <c r="C82" s="129" t="s">
        <v>99</v>
      </c>
      <c r="D82" s="129" t="s">
        <v>97</v>
      </c>
      <c r="E82" s="142">
        <v>3120</v>
      </c>
      <c r="F82" s="142">
        <v>-7852</v>
      </c>
      <c r="G82" s="142">
        <v>4084</v>
      </c>
      <c r="H82" s="142">
        <v>15757</v>
      </c>
      <c r="I82" s="142">
        <v>3451</v>
      </c>
      <c r="J82" s="142">
        <v>13084</v>
      </c>
      <c r="K82" s="142">
        <v>7568</v>
      </c>
      <c r="L82" s="142">
        <v>-2872.2</v>
      </c>
      <c r="M82" s="142">
        <f>M54*1.1</f>
        <v>-20949.570549015109</v>
      </c>
      <c r="Q82" s="193" t="s">
        <v>88</v>
      </c>
      <c r="R82" s="194" t="s">
        <v>99</v>
      </c>
      <c r="S82" s="194" t="s">
        <v>97</v>
      </c>
      <c r="T82" s="217">
        <f>ABS(E54)/ABS(E23) - 1</f>
        <v>8.5952376878794396</v>
      </c>
      <c r="U82" s="217">
        <f>ABS(F54)/ABS(F23) - 1</f>
        <v>-0.13286959074881088</v>
      </c>
      <c r="V82" s="217"/>
      <c r="W82" s="217"/>
      <c r="X82" s="217">
        <f>ABS(I54)/ABS(I23) - 1</f>
        <v>2.7779389772341299</v>
      </c>
      <c r="Y82" s="217">
        <f>ABS(J54)/ABS(J23) - 1</f>
        <v>-0.19230669333997374</v>
      </c>
      <c r="Z82" s="217">
        <f>ABS(K54)/ABS(K23) - 1</f>
        <v>0.2831070992624789</v>
      </c>
      <c r="AA82" s="217">
        <f>ABS(L54)/ABS(L23) - 1</f>
        <v>-0.50535243726077661</v>
      </c>
      <c r="AB82" s="217">
        <f>ABS(M54)/ABS(M23) - 1</f>
        <v>-0.27274542282776648</v>
      </c>
    </row>
    <row r="83" spans="1:28" x14ac:dyDescent="0.25">
      <c r="A83" s="214"/>
      <c r="B83" s="94" t="s">
        <v>89</v>
      </c>
      <c r="C83" s="129" t="s">
        <v>101</v>
      </c>
      <c r="D83" s="129" t="s">
        <v>97</v>
      </c>
      <c r="E83" s="142">
        <v>-3081</v>
      </c>
      <c r="F83" s="142">
        <v>-5270</v>
      </c>
      <c r="G83" s="142">
        <v>-3582</v>
      </c>
      <c r="H83" s="142">
        <v>-3582</v>
      </c>
      <c r="I83" s="142">
        <v>-2756</v>
      </c>
      <c r="J83" s="142">
        <v>-1356</v>
      </c>
      <c r="K83" s="142">
        <v>-5214</v>
      </c>
      <c r="L83" s="142">
        <v>-1678</v>
      </c>
      <c r="M83" s="142">
        <f>M55*1.1</f>
        <v>6425.8363255669683</v>
      </c>
      <c r="Q83" s="193" t="s">
        <v>89</v>
      </c>
      <c r="R83" s="194" t="s">
        <v>101</v>
      </c>
      <c r="S83" s="194" t="s">
        <v>97</v>
      </c>
      <c r="T83" s="217">
        <f>ABS(E55)/ABS(E24) - 1</f>
        <v>0.4016551676875082</v>
      </c>
      <c r="U83" s="217">
        <f>ABS(F55)/ABS(F24) - 1</f>
        <v>-0.4877364408622421</v>
      </c>
      <c r="V83" s="217"/>
      <c r="W83" s="217"/>
      <c r="X83" s="217">
        <f>ABS(I55)/ABS(I24) - 1</f>
        <v>50.590219458165045</v>
      </c>
      <c r="Y83" s="217">
        <f>ABS(J55)/ABS(J24) - 1</f>
        <v>-0.52146491379985938</v>
      </c>
      <c r="Z83" s="217">
        <f>ABS(K55)/ABS(K24) - 1</f>
        <v>0.1968070598517766</v>
      </c>
      <c r="AA83" s="217">
        <f>ABS(L55)/ABS(L24) - 1</f>
        <v>2.9979138392796885</v>
      </c>
      <c r="AB83" s="217">
        <f>ABS(M55)/ABS(M24) - 1</f>
        <v>-0.38680593045373579</v>
      </c>
    </row>
    <row r="84" spans="1:28" ht="15" customHeight="1" thickBot="1" x14ac:dyDescent="0.3">
      <c r="A84" s="214"/>
      <c r="B84" s="143" t="s">
        <v>91</v>
      </c>
      <c r="C84" s="144" t="s">
        <v>102</v>
      </c>
      <c r="D84" s="144" t="s">
        <v>97</v>
      </c>
      <c r="E84" s="146">
        <v>-10740</v>
      </c>
      <c r="F84" s="146">
        <v>-50756</v>
      </c>
      <c r="G84" s="146">
        <v>-33654</v>
      </c>
      <c r="H84" s="146">
        <v>-8600</v>
      </c>
      <c r="I84" s="146">
        <v>-19658</v>
      </c>
      <c r="J84" s="146">
        <v>-16632</v>
      </c>
      <c r="K84" s="146">
        <v>-15658</v>
      </c>
      <c r="L84" s="146">
        <v>-11500</v>
      </c>
      <c r="M84" s="146">
        <f>M56*1.1</f>
        <v>-42084.648251945742</v>
      </c>
      <c r="Q84" s="197" t="s">
        <v>91</v>
      </c>
      <c r="R84" s="198" t="s">
        <v>102</v>
      </c>
      <c r="S84" s="198" t="s">
        <v>97</v>
      </c>
      <c r="T84" s="226">
        <f>ABS(E56)/ABS(E25) - 1</f>
        <v>-0.36829577369959332</v>
      </c>
      <c r="U84" s="226">
        <f>ABS(F56)/ABS(F25) - 1</f>
        <v>9.7968073484939744E-3</v>
      </c>
      <c r="V84" s="226"/>
      <c r="W84" s="226"/>
      <c r="X84" s="226">
        <f>ABS(I56)/ABS(I25) - 1</f>
        <v>0.22949843513029666</v>
      </c>
      <c r="Y84" s="226">
        <f>ABS(J56)/ABS(J25) - 1</f>
        <v>0.23809741648725957</v>
      </c>
      <c r="Z84" s="226">
        <f>ABS(K56)/ABS(K25) - 1</f>
        <v>-2.8858595639546958E-2</v>
      </c>
      <c r="AA84" s="226">
        <f>ABS(L56)/ABS(L25) - 1</f>
        <v>-2.2706815185514206E-2</v>
      </c>
      <c r="AB84" s="226">
        <f>ABS(M56)/ABS(M25) - 1</f>
        <v>-0.13887477416774885</v>
      </c>
    </row>
  </sheetData>
  <mergeCells count="20">
    <mergeCell ref="Q63:S63"/>
    <mergeCell ref="Q76:S76"/>
    <mergeCell ref="B76:D76"/>
    <mergeCell ref="Q2:S2"/>
    <mergeCell ref="Q17:S17"/>
    <mergeCell ref="Q33:S33"/>
    <mergeCell ref="Q48:S48"/>
    <mergeCell ref="B78:D78"/>
    <mergeCell ref="A66:A71"/>
    <mergeCell ref="A79:A84"/>
    <mergeCell ref="B48:D48"/>
    <mergeCell ref="B50:D50"/>
    <mergeCell ref="B58:D58"/>
    <mergeCell ref="B63:D63"/>
    <mergeCell ref="B65:D65"/>
    <mergeCell ref="B35:D35"/>
    <mergeCell ref="B43:D43"/>
    <mergeCell ref="B2:D2"/>
    <mergeCell ref="B17:D17"/>
    <mergeCell ref="B33:D33"/>
  </mergeCells>
  <conditionalFormatting sqref="E5:F10 I5:M10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3:F13 I13:M13">
    <cfRule type="colorScale" priority="84">
      <colorScale>
        <cfvo type="min"/>
        <cfvo type="max"/>
        <color rgb="FFFCFCFF"/>
        <color rgb="FFF8696B"/>
      </colorScale>
    </cfRule>
  </conditionalFormatting>
  <conditionalFormatting sqref="E14:F14 I14:M14">
    <cfRule type="colorScale" priority="87">
      <colorScale>
        <cfvo type="min"/>
        <cfvo type="max"/>
        <color rgb="FFFCFCFF"/>
        <color rgb="FFF8696B"/>
      </colorScale>
    </cfRule>
  </conditionalFormatting>
  <conditionalFormatting sqref="E20:F25 I20:M25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8:F29 I28:M29">
    <cfRule type="dataBar" priority="9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{9B671924-4A64-4B26-9F5A-AFC089885BC2}</x14:id>
        </ext>
      </extLst>
    </cfRule>
  </conditionalFormatting>
  <conditionalFormatting sqref="E36:M4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4:M44">
    <cfRule type="colorScale" priority="16">
      <colorScale>
        <cfvo type="min"/>
        <cfvo type="max"/>
        <color rgb="FFFCFCFF"/>
        <color rgb="FFF8696B"/>
      </colorScale>
    </cfRule>
  </conditionalFormatting>
  <conditionalFormatting sqref="E45:M45">
    <cfRule type="colorScale" priority="17">
      <colorScale>
        <cfvo type="min"/>
        <cfvo type="max"/>
        <color rgb="FFFCFCFF"/>
        <color rgb="FFF8696B"/>
      </colorScale>
    </cfRule>
  </conditionalFormatting>
  <conditionalFormatting sqref="E51:M56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59:M60">
    <cfRule type="dataBar" priority="1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{4ACA08F0-A835-4D26-B746-4BBC4A366FBC}</x14:id>
        </ext>
      </extLst>
    </cfRule>
  </conditionalFormatting>
  <conditionalFormatting sqref="E66:M7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79:M84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:U10 X5:AB10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21:U25 X20:AB25 U20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36:U41 X36:AB41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1:AB5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20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66:U71 X66:AB7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80:AB84 U79:AB7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7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671924-4A64-4B26-9F5A-AFC089885B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E28:F29 I28:M29</xm:sqref>
        </x14:conditionalFormatting>
        <x14:conditionalFormatting xmlns:xm="http://schemas.microsoft.com/office/excel/2006/main">
          <x14:cfRule type="dataBar" id="{4ACA08F0-A835-4D26-B746-4BBC4A366F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E59:M60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A8AA-010E-43DD-919E-8418874AA2F9}">
  <dimension ref="B2:AE89"/>
  <sheetViews>
    <sheetView topLeftCell="A19" zoomScale="90" zoomScaleNormal="90" workbookViewId="0">
      <selection activeCell="F37" sqref="F37:Q46"/>
    </sheetView>
  </sheetViews>
  <sheetFormatPr defaultRowHeight="15" x14ac:dyDescent="0.25"/>
  <cols>
    <col min="1" max="1" width="3.7109375" customWidth="1"/>
    <col min="3" max="3" width="10.7109375" bestFit="1" customWidth="1"/>
    <col min="6" max="14" width="15.7109375" customWidth="1"/>
    <col min="16" max="16" width="9.28515625" bestFit="1" customWidth="1"/>
    <col min="17" max="17" width="9.5703125" bestFit="1" customWidth="1"/>
    <col min="19" max="19" width="26.5703125" bestFit="1" customWidth="1"/>
  </cols>
  <sheetData>
    <row r="2" spans="2:20" x14ac:dyDescent="0.25">
      <c r="B2" s="129" t="s">
        <v>70</v>
      </c>
      <c r="C2" s="130" t="s">
        <v>71</v>
      </c>
      <c r="F2" s="129" t="s">
        <v>72</v>
      </c>
    </row>
    <row r="3" spans="2:20" x14ac:dyDescent="0.25">
      <c r="F3" s="95" t="s">
        <v>73</v>
      </c>
    </row>
    <row r="4" spans="2:20" ht="15.75" x14ac:dyDescent="0.25">
      <c r="B4" s="131" t="s">
        <v>74</v>
      </c>
      <c r="C4" s="131"/>
      <c r="D4" s="131"/>
      <c r="E4" s="131"/>
    </row>
    <row r="5" spans="2:20" s="132" customFormat="1" ht="30" customHeight="1" x14ac:dyDescent="0.25">
      <c r="E5" s="133" t="s">
        <v>75</v>
      </c>
      <c r="F5" s="134" t="s">
        <v>23</v>
      </c>
      <c r="G5" s="134" t="s">
        <v>24</v>
      </c>
      <c r="H5" s="134" t="s">
        <v>120</v>
      </c>
      <c r="I5" s="134" t="s">
        <v>121</v>
      </c>
      <c r="J5" s="134" t="s">
        <v>76</v>
      </c>
      <c r="K5" s="134" t="s">
        <v>77</v>
      </c>
      <c r="L5" s="134" t="s">
        <v>78</v>
      </c>
      <c r="M5" s="134" t="s">
        <v>79</v>
      </c>
      <c r="N5" s="134" t="s">
        <v>31</v>
      </c>
      <c r="P5" s="135" t="s">
        <v>17</v>
      </c>
      <c r="Q5" s="135" t="s">
        <v>18</v>
      </c>
    </row>
    <row r="6" spans="2:20" x14ac:dyDescent="0.25">
      <c r="B6" s="56" t="s">
        <v>80</v>
      </c>
      <c r="C6" s="136" t="s">
        <v>81</v>
      </c>
      <c r="D6" s="136" t="s">
        <v>82</v>
      </c>
      <c r="E6" s="137">
        <v>-200</v>
      </c>
      <c r="F6" s="138">
        <v>-12618</v>
      </c>
      <c r="G6" s="138">
        <v>-7854.8</v>
      </c>
      <c r="H6" s="138">
        <v>-1475.4</v>
      </c>
      <c r="I6" s="138">
        <v>-5852.4</v>
      </c>
      <c r="J6" s="138">
        <v>2206.1999999999998</v>
      </c>
      <c r="K6" s="138">
        <v>-6208.9</v>
      </c>
      <c r="L6" s="138">
        <v>-7903.3</v>
      </c>
      <c r="M6" s="138">
        <v>-13440</v>
      </c>
      <c r="N6" s="138">
        <v>-5044</v>
      </c>
      <c r="O6" s="139"/>
      <c r="P6" s="139">
        <f>MIN(F6:N6)</f>
        <v>-13440</v>
      </c>
      <c r="Q6" s="55">
        <f>MAX(F6:N6)</f>
        <v>2206.1999999999998</v>
      </c>
      <c r="S6" s="140"/>
      <c r="T6" s="95"/>
    </row>
    <row r="7" spans="2:20" x14ac:dyDescent="0.25">
      <c r="B7" s="94" t="s">
        <v>80</v>
      </c>
      <c r="C7" s="129" t="s">
        <v>81</v>
      </c>
      <c r="D7" s="129" t="s">
        <v>83</v>
      </c>
      <c r="E7" s="141">
        <v>-392.863</v>
      </c>
      <c r="F7" s="142">
        <v>20426</v>
      </c>
      <c r="G7" s="142">
        <v>12716</v>
      </c>
      <c r="H7" s="142">
        <v>2388.6</v>
      </c>
      <c r="I7" s="142">
        <v>9474.4</v>
      </c>
      <c r="J7" s="142">
        <v>-3571.6</v>
      </c>
      <c r="K7" s="142">
        <v>10051</v>
      </c>
      <c r="L7" s="142">
        <v>12795</v>
      </c>
      <c r="M7" s="142">
        <v>21758</v>
      </c>
      <c r="N7" s="142">
        <v>8165.7</v>
      </c>
      <c r="P7">
        <f>MIN(F7:N7)</f>
        <v>-3571.6</v>
      </c>
      <c r="Q7" s="3">
        <f>MAX(F7:N7)</f>
        <v>21758</v>
      </c>
    </row>
    <row r="8" spans="2:20" x14ac:dyDescent="0.25">
      <c r="B8" s="143" t="s">
        <v>80</v>
      </c>
      <c r="C8" s="144" t="s">
        <v>81</v>
      </c>
      <c r="D8" s="144" t="s">
        <v>84</v>
      </c>
      <c r="E8" s="145">
        <v>148.18899999999999</v>
      </c>
      <c r="F8" s="146">
        <v>-70.462999999999994</v>
      </c>
      <c r="G8" s="146">
        <v>-43.865000000000002</v>
      </c>
      <c r="H8" s="146">
        <v>-8.2395999999999994</v>
      </c>
      <c r="I8" s="146">
        <v>-32.683</v>
      </c>
      <c r="J8" s="146">
        <v>12.321</v>
      </c>
      <c r="K8" s="146">
        <v>-34.673000000000002</v>
      </c>
      <c r="L8" s="146">
        <v>-44.136000000000003</v>
      </c>
      <c r="M8" s="146">
        <v>-75.055999999999997</v>
      </c>
      <c r="N8" s="146">
        <v>-28.167999999999999</v>
      </c>
      <c r="O8" s="5"/>
      <c r="P8" s="5">
        <f>MIN(F8:N8)</f>
        <v>-75.055999999999997</v>
      </c>
      <c r="Q8" s="6">
        <f>MAX(F8:N8)</f>
        <v>12.321</v>
      </c>
    </row>
    <row r="9" spans="2:20" x14ac:dyDescent="0.25">
      <c r="B9" s="56" t="s">
        <v>80</v>
      </c>
      <c r="C9" s="136" t="s">
        <v>85</v>
      </c>
      <c r="D9" s="136" t="s">
        <v>82</v>
      </c>
      <c r="E9" s="137">
        <v>175</v>
      </c>
      <c r="F9" s="138">
        <v>-7834.7</v>
      </c>
      <c r="G9" s="138">
        <v>8813.4</v>
      </c>
      <c r="H9" s="138">
        <v>-7864.4</v>
      </c>
      <c r="I9" s="138">
        <v>-3885.7</v>
      </c>
      <c r="J9" s="138">
        <v>-4960.2</v>
      </c>
      <c r="K9" s="138">
        <v>2967.6</v>
      </c>
      <c r="L9" s="138">
        <v>-10285</v>
      </c>
      <c r="M9" s="138">
        <v>-5068.8</v>
      </c>
      <c r="N9" s="138">
        <v>5659.5</v>
      </c>
      <c r="O9" s="139"/>
      <c r="P9" s="139">
        <f>MIN(F9:N9)</f>
        <v>-10285</v>
      </c>
      <c r="Q9" s="55">
        <f>MAX(F9:N9)</f>
        <v>8813.4</v>
      </c>
    </row>
    <row r="10" spans="2:20" x14ac:dyDescent="0.25">
      <c r="B10" s="94" t="s">
        <v>80</v>
      </c>
      <c r="C10" s="129" t="s">
        <v>85</v>
      </c>
      <c r="D10" s="129" t="s">
        <v>83</v>
      </c>
      <c r="E10" s="141">
        <v>-425.67200000000003</v>
      </c>
      <c r="F10" s="142">
        <v>-12743</v>
      </c>
      <c r="G10" s="142">
        <v>14335</v>
      </c>
      <c r="H10" s="142">
        <v>-12791</v>
      </c>
      <c r="I10" s="142">
        <v>-6320</v>
      </c>
      <c r="J10" s="142">
        <v>-8067.6</v>
      </c>
      <c r="K10" s="142">
        <v>4826.7</v>
      </c>
      <c r="L10" s="142">
        <v>-16728</v>
      </c>
      <c r="M10" s="142">
        <v>-8244.4</v>
      </c>
      <c r="N10" s="142">
        <v>9205.1</v>
      </c>
      <c r="P10">
        <f>MIN(F10:N10)</f>
        <v>-16728</v>
      </c>
      <c r="Q10" s="3">
        <f>MAX(F10:N10)</f>
        <v>14335</v>
      </c>
    </row>
    <row r="11" spans="2:20" x14ac:dyDescent="0.25">
      <c r="B11" s="143" t="s">
        <v>80</v>
      </c>
      <c r="C11" s="144" t="s">
        <v>85</v>
      </c>
      <c r="D11" s="144" t="s">
        <v>84</v>
      </c>
      <c r="E11" s="145">
        <v>150.28800000000001</v>
      </c>
      <c r="F11" s="146">
        <v>-43.966000000000001</v>
      </c>
      <c r="G11" s="146">
        <v>49.457999999999998</v>
      </c>
      <c r="H11" s="146">
        <v>-44.131999999999998</v>
      </c>
      <c r="I11" s="146">
        <v>-21.805</v>
      </c>
      <c r="J11" s="146">
        <v>-27.835000000000001</v>
      </c>
      <c r="K11" s="146">
        <v>16.652999999999999</v>
      </c>
      <c r="L11" s="146">
        <v>-57.716999999999999</v>
      </c>
      <c r="M11" s="146">
        <v>-28.445</v>
      </c>
      <c r="N11" s="146">
        <v>31.759</v>
      </c>
      <c r="O11" s="5"/>
      <c r="P11" s="5">
        <f>MIN(F11:N11)</f>
        <v>-57.716999999999999</v>
      </c>
      <c r="Q11" s="6">
        <f>MAX(F11:N11)</f>
        <v>49.457999999999998</v>
      </c>
    </row>
    <row r="12" spans="2:20" x14ac:dyDescent="0.25">
      <c r="B12" s="56" t="s">
        <v>80</v>
      </c>
      <c r="C12" s="136" t="s">
        <v>86</v>
      </c>
      <c r="D12" s="136" t="s">
        <v>82</v>
      </c>
      <c r="E12" s="137">
        <v>-1.952</v>
      </c>
      <c r="F12" s="147">
        <f t="shared" ref="F12:N14" si="0">(F6+F9)</f>
        <v>-20452.7</v>
      </c>
      <c r="G12" s="147">
        <f t="shared" si="0"/>
        <v>958.59999999999945</v>
      </c>
      <c r="H12" s="147">
        <f>(H6+H9)</f>
        <v>-9339.7999999999993</v>
      </c>
      <c r="I12" s="147">
        <f>(I6+I9)</f>
        <v>-9738.0999999999985</v>
      </c>
      <c r="J12" s="147">
        <f t="shared" si="0"/>
        <v>-2754</v>
      </c>
      <c r="K12" s="147">
        <f t="shared" si="0"/>
        <v>-3241.2999999999997</v>
      </c>
      <c r="L12" s="147">
        <f t="shared" si="0"/>
        <v>-18188.3</v>
      </c>
      <c r="M12" s="147">
        <f t="shared" si="0"/>
        <v>-18508.8</v>
      </c>
      <c r="N12" s="147">
        <f t="shared" si="0"/>
        <v>615.5</v>
      </c>
      <c r="O12" s="139"/>
      <c r="P12" s="139">
        <f>MIN(F12:N12)</f>
        <v>-20452.7</v>
      </c>
      <c r="Q12" s="55">
        <f>MAX(F12:N12)</f>
        <v>958.59999999999945</v>
      </c>
      <c r="S12" s="148" t="s">
        <v>87</v>
      </c>
    </row>
    <row r="13" spans="2:20" x14ac:dyDescent="0.25">
      <c r="B13" s="94" t="s">
        <v>80</v>
      </c>
      <c r="C13" s="129" t="s">
        <v>86</v>
      </c>
      <c r="D13" s="129" t="s">
        <v>83</v>
      </c>
      <c r="E13" s="141">
        <v>-713.48099999999999</v>
      </c>
      <c r="F13" s="147">
        <f t="shared" si="0"/>
        <v>7683</v>
      </c>
      <c r="G13" s="147">
        <f t="shared" si="0"/>
        <v>27051</v>
      </c>
      <c r="H13" s="147">
        <f>(H7+H10)</f>
        <v>-10402.4</v>
      </c>
      <c r="I13" s="147">
        <f>(I7+I10)</f>
        <v>3154.3999999999996</v>
      </c>
      <c r="J13" s="147">
        <f t="shared" si="0"/>
        <v>-11639.2</v>
      </c>
      <c r="K13" s="147">
        <f t="shared" si="0"/>
        <v>14877.7</v>
      </c>
      <c r="L13" s="147">
        <f t="shared" si="0"/>
        <v>-3933</v>
      </c>
      <c r="M13" s="147">
        <f t="shared" si="0"/>
        <v>13513.6</v>
      </c>
      <c r="N13" s="147">
        <f t="shared" si="0"/>
        <v>17370.8</v>
      </c>
      <c r="P13">
        <f>MIN(F13:N13)</f>
        <v>-11639.2</v>
      </c>
      <c r="Q13" s="3">
        <f>MAX(F13:N13)</f>
        <v>27051</v>
      </c>
    </row>
    <row r="14" spans="2:20" x14ac:dyDescent="0.25">
      <c r="B14" s="143" t="s">
        <v>80</v>
      </c>
      <c r="C14" s="144" t="s">
        <v>86</v>
      </c>
      <c r="D14" s="144" t="s">
        <v>84</v>
      </c>
      <c r="E14" s="145">
        <v>149.29499999999999</v>
      </c>
      <c r="F14" s="147">
        <f t="shared" si="0"/>
        <v>-114.429</v>
      </c>
      <c r="G14" s="147">
        <f t="shared" si="0"/>
        <v>5.5929999999999964</v>
      </c>
      <c r="H14" s="147">
        <f>(H8+H11)</f>
        <v>-52.371600000000001</v>
      </c>
      <c r="I14" s="147">
        <f>(I8+I11)</f>
        <v>-54.488</v>
      </c>
      <c r="J14" s="147">
        <f t="shared" si="0"/>
        <v>-15.514000000000001</v>
      </c>
      <c r="K14" s="147">
        <f t="shared" si="0"/>
        <v>-18.020000000000003</v>
      </c>
      <c r="L14" s="147">
        <f t="shared" si="0"/>
        <v>-101.85300000000001</v>
      </c>
      <c r="M14" s="147">
        <f t="shared" si="0"/>
        <v>-103.501</v>
      </c>
      <c r="N14" s="147">
        <f t="shared" si="0"/>
        <v>3.5910000000000011</v>
      </c>
      <c r="O14" s="5"/>
      <c r="P14" s="5">
        <f>MIN(F14:N14)</f>
        <v>-114.429</v>
      </c>
      <c r="Q14" s="6">
        <f>MAX(F14:N14)</f>
        <v>5.5929999999999964</v>
      </c>
    </row>
    <row r="15" spans="2:20" x14ac:dyDescent="0.25">
      <c r="B15" s="56" t="s">
        <v>88</v>
      </c>
      <c r="C15" s="136" t="s">
        <v>81</v>
      </c>
      <c r="D15" s="136" t="s">
        <v>82</v>
      </c>
      <c r="E15" s="137">
        <v>-65</v>
      </c>
      <c r="F15" s="138">
        <v>5467.5</v>
      </c>
      <c r="G15" s="138">
        <v>763.05</v>
      </c>
      <c r="H15" s="138">
        <v>163.18</v>
      </c>
      <c r="I15" s="138">
        <v>2130.5</v>
      </c>
      <c r="J15" s="138">
        <v>-1504.8</v>
      </c>
      <c r="K15" s="138">
        <v>1816.9</v>
      </c>
      <c r="L15" s="138">
        <v>3370.3</v>
      </c>
      <c r="M15" s="138">
        <v>5555.8</v>
      </c>
      <c r="N15" s="138">
        <v>489.99</v>
      </c>
      <c r="O15" s="139"/>
      <c r="P15" s="139">
        <f>MIN(F15:N15)</f>
        <v>-1504.8</v>
      </c>
      <c r="Q15" s="55">
        <f>MAX(F15:N15)</f>
        <v>5555.8</v>
      </c>
    </row>
    <row r="16" spans="2:20" x14ac:dyDescent="0.25">
      <c r="B16" s="94" t="s">
        <v>88</v>
      </c>
      <c r="C16" s="129" t="s">
        <v>81</v>
      </c>
      <c r="D16" s="129" t="s">
        <v>83</v>
      </c>
      <c r="E16" s="141">
        <v>-434.67399999999998</v>
      </c>
      <c r="F16" s="142">
        <v>-13011</v>
      </c>
      <c r="G16" s="142">
        <v>-1815.9</v>
      </c>
      <c r="H16" s="142">
        <v>-388.34</v>
      </c>
      <c r="I16" s="142">
        <v>-5070</v>
      </c>
      <c r="J16" s="142">
        <v>3581.1</v>
      </c>
      <c r="K16" s="142">
        <v>-4323.8</v>
      </c>
      <c r="L16" s="142">
        <v>-8020.6</v>
      </c>
      <c r="M16" s="142">
        <v>-13222</v>
      </c>
      <c r="N16" s="142">
        <v>-1166.0999999999999</v>
      </c>
      <c r="P16">
        <f>MIN(F16:N16)</f>
        <v>-13222</v>
      </c>
      <c r="Q16" s="3">
        <f>MAX(F16:N16)</f>
        <v>3581.1</v>
      </c>
    </row>
    <row r="17" spans="2:17" x14ac:dyDescent="0.25">
      <c r="B17" s="143" t="s">
        <v>88</v>
      </c>
      <c r="C17" s="144" t="s">
        <v>81</v>
      </c>
      <c r="D17" s="144" t="s">
        <v>84</v>
      </c>
      <c r="E17" s="145">
        <v>400.88900000000001</v>
      </c>
      <c r="F17" s="146">
        <v>189.49</v>
      </c>
      <c r="G17" s="146">
        <v>26.446000000000002</v>
      </c>
      <c r="H17" s="146">
        <v>5.6557000000000004</v>
      </c>
      <c r="I17" s="146">
        <v>73.838999999999999</v>
      </c>
      <c r="J17" s="146">
        <v>-52.155000000000001</v>
      </c>
      <c r="K17" s="146">
        <v>62.970999999999997</v>
      </c>
      <c r="L17" s="146">
        <v>116.81</v>
      </c>
      <c r="M17" s="146">
        <v>192.56</v>
      </c>
      <c r="N17" s="146">
        <v>16.981999999999999</v>
      </c>
      <c r="O17" s="5"/>
      <c r="P17" s="5">
        <f>MIN(F17:N17)</f>
        <v>-52.155000000000001</v>
      </c>
      <c r="Q17" s="6">
        <f>MAX(F17:N17)</f>
        <v>192.56</v>
      </c>
    </row>
    <row r="18" spans="2:17" x14ac:dyDescent="0.25">
      <c r="B18" s="56" t="s">
        <v>88</v>
      </c>
      <c r="C18" s="136" t="s">
        <v>85</v>
      </c>
      <c r="D18" s="136" t="s">
        <v>82</v>
      </c>
      <c r="E18" s="137">
        <v>175</v>
      </c>
      <c r="F18" s="138">
        <v>4702.3</v>
      </c>
      <c r="G18" s="138">
        <v>-1125.5999999999999</v>
      </c>
      <c r="H18" s="138">
        <v>4924.8</v>
      </c>
      <c r="I18" s="138">
        <v>2835.1</v>
      </c>
      <c r="J18" s="138">
        <v>3310.3</v>
      </c>
      <c r="K18" s="138">
        <v>-270.56</v>
      </c>
      <c r="L18" s="138">
        <v>5930.4</v>
      </c>
      <c r="M18" s="138">
        <v>3574.4</v>
      </c>
      <c r="N18" s="138">
        <v>-722.81</v>
      </c>
      <c r="O18" s="139"/>
      <c r="P18" s="139">
        <f>MIN(F18:N18)</f>
        <v>-1125.5999999999999</v>
      </c>
      <c r="Q18" s="55">
        <f>MAX(F18:N18)</f>
        <v>5930.4</v>
      </c>
    </row>
    <row r="19" spans="2:17" x14ac:dyDescent="0.25">
      <c r="B19" s="94" t="s">
        <v>88</v>
      </c>
      <c r="C19" s="129" t="s">
        <v>85</v>
      </c>
      <c r="D19" s="129" t="s">
        <v>83</v>
      </c>
      <c r="E19" s="141">
        <v>-455.67200000000003</v>
      </c>
      <c r="F19" s="142">
        <v>6035.2</v>
      </c>
      <c r="G19" s="142">
        <v>-1444.7</v>
      </c>
      <c r="H19" s="142">
        <v>6320.8</v>
      </c>
      <c r="I19" s="142">
        <v>3638.7</v>
      </c>
      <c r="J19" s="142">
        <v>4248.7</v>
      </c>
      <c r="K19" s="142">
        <v>-347.26</v>
      </c>
      <c r="L19" s="142">
        <v>7611.6</v>
      </c>
      <c r="M19" s="142">
        <v>4587.7</v>
      </c>
      <c r="N19" s="142">
        <v>-927.71</v>
      </c>
      <c r="P19">
        <f>MIN(F19:N19)</f>
        <v>-1444.7</v>
      </c>
      <c r="Q19" s="3">
        <f>MAX(F19:N19)</f>
        <v>7611.6</v>
      </c>
    </row>
    <row r="20" spans="2:17" x14ac:dyDescent="0.25">
      <c r="B20" s="143" t="s">
        <v>88</v>
      </c>
      <c r="C20" s="144" t="s">
        <v>85</v>
      </c>
      <c r="D20" s="144" t="s">
        <v>84</v>
      </c>
      <c r="E20" s="145">
        <v>367.66</v>
      </c>
      <c r="F20" s="146">
        <v>-1137.9000000000001</v>
      </c>
      <c r="G20" s="146">
        <v>272.38</v>
      </c>
      <c r="H20" s="146">
        <v>-1191.7</v>
      </c>
      <c r="I20" s="146">
        <v>-686.06</v>
      </c>
      <c r="J20" s="146">
        <v>-801.06</v>
      </c>
      <c r="K20" s="146">
        <v>65.472999999999999</v>
      </c>
      <c r="L20" s="146">
        <v>-1435.1</v>
      </c>
      <c r="M20" s="146">
        <v>-864.98</v>
      </c>
      <c r="N20" s="146">
        <v>174.91</v>
      </c>
      <c r="O20" s="5"/>
      <c r="P20" s="5">
        <f>MIN(F20:N20)</f>
        <v>-1435.1</v>
      </c>
      <c r="Q20" s="6">
        <f>MAX(F20:N20)</f>
        <v>272.38</v>
      </c>
    </row>
    <row r="21" spans="2:17" x14ac:dyDescent="0.25">
      <c r="B21" s="56" t="s">
        <v>88</v>
      </c>
      <c r="C21" s="136" t="s">
        <v>86</v>
      </c>
      <c r="D21" s="136" t="s">
        <v>82</v>
      </c>
      <c r="E21" s="137">
        <v>24.82</v>
      </c>
      <c r="F21" s="147">
        <f t="shared" ref="F21:N23" si="1">(F15+F18)</f>
        <v>10169.799999999999</v>
      </c>
      <c r="G21" s="147">
        <f t="shared" si="1"/>
        <v>-362.54999999999995</v>
      </c>
      <c r="H21" s="147">
        <f>(H15+H18)</f>
        <v>5087.9800000000005</v>
      </c>
      <c r="I21" s="147">
        <f>(I15+I18)</f>
        <v>4965.6000000000004</v>
      </c>
      <c r="J21" s="147">
        <f t="shared" si="1"/>
        <v>1805.5000000000002</v>
      </c>
      <c r="K21" s="147">
        <f t="shared" si="1"/>
        <v>1546.3400000000001</v>
      </c>
      <c r="L21" s="147">
        <f t="shared" si="1"/>
        <v>9300.7000000000007</v>
      </c>
      <c r="M21" s="147">
        <f t="shared" si="1"/>
        <v>9130.2000000000007</v>
      </c>
      <c r="N21" s="147">
        <f t="shared" si="1"/>
        <v>-232.81999999999994</v>
      </c>
      <c r="O21" s="139"/>
      <c r="P21" s="139">
        <f>MIN(F21:N21)</f>
        <v>-362.54999999999995</v>
      </c>
      <c r="Q21" s="55">
        <f>MAX(F21:N21)</f>
        <v>10169.799999999999</v>
      </c>
    </row>
    <row r="22" spans="2:17" x14ac:dyDescent="0.25">
      <c r="B22" s="94" t="s">
        <v>88</v>
      </c>
      <c r="C22" s="129" t="s">
        <v>86</v>
      </c>
      <c r="D22" s="129" t="s">
        <v>83</v>
      </c>
      <c r="E22" s="141">
        <v>-648.42399999999998</v>
      </c>
      <c r="F22" s="147">
        <f t="shared" si="1"/>
        <v>-6975.8</v>
      </c>
      <c r="G22" s="147">
        <f t="shared" si="1"/>
        <v>-3260.6000000000004</v>
      </c>
      <c r="H22" s="147">
        <f>(H16+H19)</f>
        <v>5932.46</v>
      </c>
      <c r="I22" s="147">
        <f>(I16+I19)</f>
        <v>-1431.3000000000002</v>
      </c>
      <c r="J22" s="147">
        <f t="shared" si="1"/>
        <v>7829.7999999999993</v>
      </c>
      <c r="K22" s="147">
        <f t="shared" si="1"/>
        <v>-4671.0600000000004</v>
      </c>
      <c r="L22" s="147">
        <f t="shared" si="1"/>
        <v>-409</v>
      </c>
      <c r="M22" s="147">
        <f t="shared" si="1"/>
        <v>-8634.2999999999993</v>
      </c>
      <c r="N22" s="147">
        <f t="shared" si="1"/>
        <v>-2093.81</v>
      </c>
      <c r="P22">
        <f>MIN(F22:N22)</f>
        <v>-8634.2999999999993</v>
      </c>
      <c r="Q22" s="3">
        <f>MAX(F22:N22)</f>
        <v>7829.7999999999993</v>
      </c>
    </row>
    <row r="23" spans="2:17" x14ac:dyDescent="0.25">
      <c r="B23" s="143" t="s">
        <v>88</v>
      </c>
      <c r="C23" s="144" t="s">
        <v>86</v>
      </c>
      <c r="D23" s="144" t="s">
        <v>84</v>
      </c>
      <c r="E23" s="145">
        <v>404.00200000000001</v>
      </c>
      <c r="F23" s="147">
        <f t="shared" si="1"/>
        <v>-948.41000000000008</v>
      </c>
      <c r="G23" s="147">
        <f t="shared" si="1"/>
        <v>298.82600000000002</v>
      </c>
      <c r="H23" s="147">
        <f>(H17+H20)</f>
        <v>-1186.0443</v>
      </c>
      <c r="I23" s="147">
        <f>(I17+I20)</f>
        <v>-612.221</v>
      </c>
      <c r="J23" s="147">
        <f t="shared" si="1"/>
        <v>-853.21499999999992</v>
      </c>
      <c r="K23" s="147">
        <f t="shared" si="1"/>
        <v>128.44399999999999</v>
      </c>
      <c r="L23" s="147">
        <f t="shared" si="1"/>
        <v>-1318.29</v>
      </c>
      <c r="M23" s="147">
        <f t="shared" si="1"/>
        <v>-672.42000000000007</v>
      </c>
      <c r="N23" s="147">
        <f t="shared" si="1"/>
        <v>191.892</v>
      </c>
      <c r="O23" s="5"/>
      <c r="P23" s="5">
        <f>MIN(F23:N23)</f>
        <v>-1318.29</v>
      </c>
      <c r="Q23" s="6">
        <f>MAX(F23:N23)</f>
        <v>298.82600000000002</v>
      </c>
    </row>
    <row r="24" spans="2:17" x14ac:dyDescent="0.25">
      <c r="B24" s="56" t="s">
        <v>89</v>
      </c>
      <c r="C24" s="136" t="s">
        <v>90</v>
      </c>
      <c r="D24" s="136" t="s">
        <v>82</v>
      </c>
      <c r="E24" s="137">
        <v>-125</v>
      </c>
      <c r="F24" s="138">
        <v>-478.22</v>
      </c>
      <c r="G24" s="138">
        <v>202.84</v>
      </c>
      <c r="H24" s="138">
        <v>-452.4</v>
      </c>
      <c r="I24" s="138">
        <v>-266.63</v>
      </c>
      <c r="J24" s="138">
        <v>-286.61</v>
      </c>
      <c r="K24" s="138">
        <v>48.828000000000003</v>
      </c>
      <c r="L24" s="138">
        <v>-581.77</v>
      </c>
      <c r="M24" s="138">
        <v>-361.06</v>
      </c>
      <c r="N24" s="138">
        <v>130.26</v>
      </c>
      <c r="O24" s="139"/>
      <c r="P24" s="139">
        <f>MIN(F24:N24)</f>
        <v>-581.77</v>
      </c>
      <c r="Q24" s="55">
        <f>MAX(F24:N24)</f>
        <v>202.84</v>
      </c>
    </row>
    <row r="25" spans="2:17" x14ac:dyDescent="0.25">
      <c r="B25" s="94" t="s">
        <v>89</v>
      </c>
      <c r="C25" s="129" t="s">
        <v>90</v>
      </c>
      <c r="D25" s="129" t="s">
        <v>83</v>
      </c>
      <c r="E25" s="141">
        <v>-430</v>
      </c>
      <c r="F25" s="142">
        <v>4580.1000000000004</v>
      </c>
      <c r="G25" s="142">
        <v>-1942.7</v>
      </c>
      <c r="H25" s="142">
        <v>4332.8</v>
      </c>
      <c r="I25" s="142">
        <v>2553.6</v>
      </c>
      <c r="J25" s="142">
        <v>2745</v>
      </c>
      <c r="K25" s="142">
        <v>-467.65</v>
      </c>
      <c r="L25" s="142">
        <v>5571.8</v>
      </c>
      <c r="M25" s="142">
        <v>3458</v>
      </c>
      <c r="N25" s="142">
        <v>-1247.5</v>
      </c>
      <c r="P25">
        <f>MIN(F25:N25)</f>
        <v>-1942.7</v>
      </c>
      <c r="Q25" s="3">
        <f>MAX(F25:N25)</f>
        <v>5571.8</v>
      </c>
    </row>
    <row r="26" spans="2:17" x14ac:dyDescent="0.25">
      <c r="B26" s="143" t="s">
        <v>89</v>
      </c>
      <c r="C26" s="129" t="s">
        <v>90</v>
      </c>
      <c r="D26" s="144" t="s">
        <v>84</v>
      </c>
      <c r="E26" s="145">
        <v>396</v>
      </c>
      <c r="F26" s="146">
        <v>-288.74</v>
      </c>
      <c r="G26" s="146">
        <v>122.47</v>
      </c>
      <c r="H26" s="146">
        <v>-273.14999999999998</v>
      </c>
      <c r="I26" s="146">
        <v>-160.97999999999999</v>
      </c>
      <c r="J26" s="146">
        <v>-173.05</v>
      </c>
      <c r="K26" s="146">
        <v>29.481000000000002</v>
      </c>
      <c r="L26" s="146">
        <v>-351.26</v>
      </c>
      <c r="M26" s="146">
        <v>-218</v>
      </c>
      <c r="N26" s="146">
        <v>78.644999999999996</v>
      </c>
      <c r="O26" s="5"/>
      <c r="P26" s="5">
        <f>MIN(F26:N26)</f>
        <v>-351.26</v>
      </c>
      <c r="Q26" s="6">
        <f>MAX(F26:N26)</f>
        <v>122.47</v>
      </c>
    </row>
    <row r="27" spans="2:17" x14ac:dyDescent="0.25">
      <c r="B27" s="56" t="s">
        <v>91</v>
      </c>
      <c r="C27" s="136" t="s">
        <v>92</v>
      </c>
      <c r="D27" s="136" t="s">
        <v>82</v>
      </c>
      <c r="E27" s="137">
        <v>16</v>
      </c>
      <c r="F27" s="138">
        <v>-193.31</v>
      </c>
      <c r="G27" s="138">
        <v>-798.79</v>
      </c>
      <c r="H27" s="138">
        <v>-656.75</v>
      </c>
      <c r="I27" s="138">
        <v>-321.81</v>
      </c>
      <c r="J27" s="138">
        <v>-605.89</v>
      </c>
      <c r="K27" s="138">
        <v>-194.89</v>
      </c>
      <c r="L27" s="138">
        <v>-442.65</v>
      </c>
      <c r="M27" s="138">
        <v>-172.28</v>
      </c>
      <c r="N27" s="138">
        <v>-512.95000000000005</v>
      </c>
      <c r="O27" s="139"/>
      <c r="P27" s="139">
        <f>MIN(F27:N27)</f>
        <v>-798.79</v>
      </c>
      <c r="Q27" s="55">
        <f>MAX(F27:N27)</f>
        <v>-172.28</v>
      </c>
    </row>
    <row r="28" spans="2:17" x14ac:dyDescent="0.25">
      <c r="B28" s="94" t="s">
        <v>91</v>
      </c>
      <c r="C28" s="129" t="s">
        <v>92</v>
      </c>
      <c r="D28" s="129" t="s">
        <v>83</v>
      </c>
      <c r="E28" s="141">
        <v>-370</v>
      </c>
      <c r="F28" s="142">
        <v>-5287.3</v>
      </c>
      <c r="G28" s="142">
        <v>-21848</v>
      </c>
      <c r="H28" s="142">
        <v>-17963</v>
      </c>
      <c r="I28" s="142">
        <v>-8801.7000000000007</v>
      </c>
      <c r="J28" s="142">
        <v>-16572</v>
      </c>
      <c r="K28" s="142">
        <v>-5330.5</v>
      </c>
      <c r="L28" s="142">
        <v>-12107</v>
      </c>
      <c r="M28" s="142">
        <v>-4711.8999999999996</v>
      </c>
      <c r="N28" s="142">
        <v>-14029</v>
      </c>
      <c r="P28">
        <f>MIN(F28:N28)</f>
        <v>-21848</v>
      </c>
      <c r="Q28" s="3">
        <f>MAX(F28:N28)</f>
        <v>-4711.8999999999996</v>
      </c>
    </row>
    <row r="29" spans="2:17" x14ac:dyDescent="0.25">
      <c r="B29" s="143" t="s">
        <v>91</v>
      </c>
      <c r="C29" s="144" t="s">
        <v>92</v>
      </c>
      <c r="D29" s="144" t="s">
        <v>84</v>
      </c>
      <c r="E29" s="145">
        <v>486</v>
      </c>
      <c r="F29" s="146">
        <v>-4588.3999999999996</v>
      </c>
      <c r="G29" s="146">
        <v>-18960</v>
      </c>
      <c r="H29" s="146">
        <v>-15588</v>
      </c>
      <c r="I29" s="146">
        <v>-7638.3</v>
      </c>
      <c r="J29" s="146">
        <v>-14381</v>
      </c>
      <c r="K29" s="146">
        <v>-4625.8999999999996</v>
      </c>
      <c r="L29" s="146">
        <v>-10507</v>
      </c>
      <c r="M29" s="146">
        <v>-4089.1</v>
      </c>
      <c r="N29" s="146">
        <v>-12175</v>
      </c>
      <c r="O29" s="5"/>
      <c r="P29" s="5">
        <f>MIN(F29:N29)</f>
        <v>-18960</v>
      </c>
      <c r="Q29" s="6">
        <f>MAX(F29:N29)</f>
        <v>-4089.1</v>
      </c>
    </row>
    <row r="31" spans="2:17" x14ac:dyDescent="0.25">
      <c r="B31" s="129" t="s">
        <v>93</v>
      </c>
      <c r="D31" s="129" t="s">
        <v>42</v>
      </c>
      <c r="F31" s="49">
        <f>F12+F21+F24+F27</f>
        <v>-10954.43</v>
      </c>
      <c r="G31" s="49">
        <f t="shared" ref="G31:N33" si="2">G12+G21+G24+G27</f>
        <v>9.999999999956799E-2</v>
      </c>
      <c r="H31" s="49">
        <f>H12+H21+H24+H27</f>
        <v>-5360.9699999999984</v>
      </c>
      <c r="I31" s="49">
        <f>I12+I21+I24+I27</f>
        <v>-5360.9399999999987</v>
      </c>
      <c r="J31" s="49">
        <f t="shared" si="2"/>
        <v>-1840.9999999999995</v>
      </c>
      <c r="K31" s="49">
        <f t="shared" si="2"/>
        <v>-1841.0219999999995</v>
      </c>
      <c r="L31" s="49">
        <f t="shared" si="2"/>
        <v>-9912.0199999999986</v>
      </c>
      <c r="M31" s="49">
        <f t="shared" si="2"/>
        <v>-9911.9399999999987</v>
      </c>
      <c r="N31" s="49">
        <f t="shared" si="2"/>
        <v>-9.9999999999909051E-3</v>
      </c>
    </row>
    <row r="32" spans="2:17" x14ac:dyDescent="0.25">
      <c r="D32" s="129" t="s">
        <v>43</v>
      </c>
      <c r="F32" s="49">
        <f>F13+F22+F25+F28</f>
        <v>0</v>
      </c>
      <c r="G32" s="49">
        <f t="shared" si="2"/>
        <v>-0.2999999999992724</v>
      </c>
      <c r="H32" s="49">
        <f>H13+H22+H25+H28</f>
        <v>-18100.14</v>
      </c>
      <c r="I32" s="49">
        <f>I13+I22+I25+I28</f>
        <v>-4525.0000000000018</v>
      </c>
      <c r="J32" s="49">
        <f t="shared" si="2"/>
        <v>-17636.400000000001</v>
      </c>
      <c r="K32" s="49">
        <f t="shared" si="2"/>
        <v>4408.49</v>
      </c>
      <c r="L32" s="49">
        <f t="shared" si="2"/>
        <v>-10877.2</v>
      </c>
      <c r="M32" s="49">
        <f t="shared" si="2"/>
        <v>3625.4000000000015</v>
      </c>
      <c r="N32" s="49">
        <f t="shared" si="2"/>
        <v>0.48999999999978172</v>
      </c>
    </row>
    <row r="33" spans="2:20" x14ac:dyDescent="0.25">
      <c r="D33" s="149" t="s">
        <v>44</v>
      </c>
      <c r="E33" s="150"/>
      <c r="F33" s="49">
        <f>F14+F23+F26+F29</f>
        <v>-5939.9789999999994</v>
      </c>
      <c r="G33" s="49">
        <f t="shared" si="2"/>
        <v>-18533.111000000001</v>
      </c>
      <c r="H33" s="49">
        <f>H14+H23+H26+H29</f>
        <v>-17099.565900000001</v>
      </c>
      <c r="I33" s="49">
        <f>I14+I23+I26+I29</f>
        <v>-8465.9889999999996</v>
      </c>
      <c r="J33" s="49">
        <f t="shared" si="2"/>
        <v>-15422.779</v>
      </c>
      <c r="K33" s="49">
        <f t="shared" si="2"/>
        <v>-4485.9949999999999</v>
      </c>
      <c r="L33" s="49">
        <f t="shared" si="2"/>
        <v>-12278.403</v>
      </c>
      <c r="M33" s="49">
        <f t="shared" si="2"/>
        <v>-5083.0209999999997</v>
      </c>
      <c r="N33" s="49">
        <f t="shared" si="2"/>
        <v>-11900.871999999999</v>
      </c>
    </row>
    <row r="35" spans="2:20" x14ac:dyDescent="0.25">
      <c r="B35" s="140" t="s">
        <v>94</v>
      </c>
    </row>
    <row r="36" spans="2:20" ht="15.75" x14ac:dyDescent="0.25">
      <c r="B36" s="151" t="s">
        <v>95</v>
      </c>
      <c r="C36" s="151"/>
      <c r="D36" s="151"/>
      <c r="E36" s="151"/>
    </row>
    <row r="37" spans="2:20" x14ac:dyDescent="0.25">
      <c r="B37" s="56" t="s">
        <v>80</v>
      </c>
      <c r="C37" s="136" t="s">
        <v>96</v>
      </c>
      <c r="D37" s="136" t="s">
        <v>97</v>
      </c>
      <c r="E37" s="136"/>
      <c r="F37" s="138">
        <f t="shared" ref="F37:N37" si="3">SQRT(F6^2+F7^2+F8^2)*SIGN(F7)</f>
        <v>24009.172518734773</v>
      </c>
      <c r="G37" s="138">
        <f t="shared" si="3"/>
        <v>14946.453197271419</v>
      </c>
      <c r="H37" s="138">
        <f>SQRT(H6^2+H7^2+H8^2)*SIGN(H7)</f>
        <v>2807.5403845729734</v>
      </c>
      <c r="I37" s="138">
        <f>SQRT(I6^2+I7^2+I8^2)*SIGN(I7)</f>
        <v>11136.243051338679</v>
      </c>
      <c r="J37" s="138">
        <f t="shared" si="3"/>
        <v>-4198.0706052948899</v>
      </c>
      <c r="K37" s="138">
        <f t="shared" si="3"/>
        <v>11814.154325508405</v>
      </c>
      <c r="L37" s="138">
        <f t="shared" si="3"/>
        <v>15039.153030556474</v>
      </c>
      <c r="M37" s="138">
        <f t="shared" si="3"/>
        <v>25574.397302832691</v>
      </c>
      <c r="N37" s="138">
        <f t="shared" si="3"/>
        <v>9597.9886396173642</v>
      </c>
      <c r="O37" s="139"/>
      <c r="P37" s="152">
        <f>MIN(F37:N37)</f>
        <v>-4198.0706052948899</v>
      </c>
      <c r="Q37" s="153">
        <f>MAX(F37:N37)</f>
        <v>25574.397302832691</v>
      </c>
      <c r="S37" s="154" t="s">
        <v>98</v>
      </c>
    </row>
    <row r="38" spans="2:20" x14ac:dyDescent="0.25">
      <c r="B38" s="94" t="s">
        <v>80</v>
      </c>
      <c r="C38" s="129" t="s">
        <v>99</v>
      </c>
      <c r="D38" s="129" t="s">
        <v>97</v>
      </c>
      <c r="E38" s="129"/>
      <c r="F38" s="142">
        <f t="shared" ref="F38:N38" si="4">SQRT(F9^2+F10^2+F11^2)*SIGN(F10)</f>
        <v>-14958.893879533874</v>
      </c>
      <c r="G38" s="142">
        <f t="shared" si="4"/>
        <v>16827.676329599522</v>
      </c>
      <c r="H38" s="142">
        <f>SQRT(H9^2+H10^2+H11^2)*SIGN(H10)</f>
        <v>-15015.339356585451</v>
      </c>
      <c r="I38" s="142">
        <f>SQRT(I9^2+I10^2+I11^2)*SIGN(I10)</f>
        <v>-7418.9985812119548</v>
      </c>
      <c r="J38" s="142">
        <f t="shared" si="4"/>
        <v>-9470.5083594929056</v>
      </c>
      <c r="K38" s="142">
        <f t="shared" si="4"/>
        <v>5666.0356487061572</v>
      </c>
      <c r="L38" s="142">
        <f t="shared" si="4"/>
        <v>-19636.968713426446</v>
      </c>
      <c r="M38" s="142">
        <f t="shared" si="4"/>
        <v>-9677.9994791291974</v>
      </c>
      <c r="N38" s="142">
        <f t="shared" si="4"/>
        <v>10805.776922280093</v>
      </c>
      <c r="P38" s="49">
        <f>MIN(F38:N38)</f>
        <v>-19636.968713426446</v>
      </c>
      <c r="Q38" s="155">
        <f>MAX(F38:N38)</f>
        <v>16827.676329599522</v>
      </c>
      <c r="S38" s="156" t="s">
        <v>100</v>
      </c>
    </row>
    <row r="39" spans="2:20" x14ac:dyDescent="0.25">
      <c r="B39" s="94" t="s">
        <v>88</v>
      </c>
      <c r="C39" s="129" t="s">
        <v>96</v>
      </c>
      <c r="D39" s="129" t="s">
        <v>97</v>
      </c>
      <c r="E39" s="129"/>
      <c r="F39" s="142">
        <f t="shared" ref="F39:N39" si="5">SQRT(F15^2+F16^2+F17^2)*SIGN(F16)</f>
        <v>-14114.375073310897</v>
      </c>
      <c r="G39" s="142">
        <f t="shared" si="5"/>
        <v>-1969.882611582731</v>
      </c>
      <c r="H39" s="142">
        <f>SQRT(H15^2+H16^2+H17^2)*SIGN(H16)</f>
        <v>-421.26910038892009</v>
      </c>
      <c r="I39" s="142">
        <f>SQRT(I15^2+I16^2+I17^2)*SIGN(I16)</f>
        <v>-5499.9438586153765</v>
      </c>
      <c r="J39" s="142">
        <f t="shared" si="5"/>
        <v>3884.7677400360758</v>
      </c>
      <c r="K39" s="142">
        <f t="shared" si="5"/>
        <v>-4690.4517263096313</v>
      </c>
      <c r="L39" s="142">
        <f t="shared" si="5"/>
        <v>-8700.7235920985331</v>
      </c>
      <c r="M39" s="142">
        <f t="shared" si="5"/>
        <v>-14343.126472063195</v>
      </c>
      <c r="N39" s="142">
        <f t="shared" si="5"/>
        <v>-1264.9773904793713</v>
      </c>
      <c r="P39" s="49">
        <f>MIN(F39:N39)</f>
        <v>-14343.126472063195</v>
      </c>
      <c r="Q39" s="155">
        <f>MAX(F39:N39)</f>
        <v>3884.7677400360758</v>
      </c>
    </row>
    <row r="40" spans="2:20" x14ac:dyDescent="0.25">
      <c r="B40" s="94" t="s">
        <v>88</v>
      </c>
      <c r="C40" s="129" t="s">
        <v>99</v>
      </c>
      <c r="D40" s="129" t="s">
        <v>97</v>
      </c>
      <c r="E40" s="129"/>
      <c r="F40" s="142">
        <f t="shared" ref="F40:N40" si="6">SQRT(F18^2+F19^2+F20^2)*SIGN(F19)</f>
        <v>7734.9906748489357</v>
      </c>
      <c r="G40" s="142">
        <f t="shared" si="6"/>
        <v>-1851.5734698898664</v>
      </c>
      <c r="H40" s="142">
        <f>SQRT(H18^2+H19^2+H20^2)*SIGN(H19)</f>
        <v>8101.0071330668516</v>
      </c>
      <c r="I40" s="142">
        <f>SQRT(I18^2+I19^2+I20^2)*SIGN(I19)</f>
        <v>4663.540288621939</v>
      </c>
      <c r="J40" s="142">
        <f t="shared" si="6"/>
        <v>5445.2947490103788</v>
      </c>
      <c r="K40" s="142">
        <f t="shared" si="6"/>
        <v>-445.06059691799277</v>
      </c>
      <c r="L40" s="142">
        <f t="shared" si="6"/>
        <v>9755.2862966701286</v>
      </c>
      <c r="M40" s="142">
        <f t="shared" si="6"/>
        <v>5879.7548461139086</v>
      </c>
      <c r="N40" s="142">
        <f t="shared" si="6"/>
        <v>-1188.9884979679157</v>
      </c>
      <c r="P40" s="49">
        <f>MIN(F40:N40)</f>
        <v>-1851.5734698898664</v>
      </c>
      <c r="Q40" s="155">
        <f>MAX(F40:N40)</f>
        <v>9755.2862966701286</v>
      </c>
    </row>
    <row r="41" spans="2:20" x14ac:dyDescent="0.25">
      <c r="B41" s="94" t="s">
        <v>89</v>
      </c>
      <c r="C41" s="129" t="s">
        <v>101</v>
      </c>
      <c r="D41" s="129" t="s">
        <v>97</v>
      </c>
      <c r="E41" s="129"/>
      <c r="F41" s="142">
        <f>-SQRT(F24^2+F25^2+F26^2)*SIGN(F26)</f>
        <v>4614.0417386495328</v>
      </c>
      <c r="G41" s="142">
        <f t="shared" ref="G41:N41" si="7">-SQRT(G24^2+G25^2+G26^2)*SIGN(G26)</f>
        <v>-1957.0963840598142</v>
      </c>
      <c r="H41" s="142">
        <f>-SQRT(H24^2+H25^2+H26^2)*SIGN(H26)</f>
        <v>4364.9092227101355</v>
      </c>
      <c r="I41" s="142">
        <f>-SQRT(I24^2+I25^2+I26^2)*SIGN(I26)</f>
        <v>2572.5238730281981</v>
      </c>
      <c r="J41" s="142">
        <f t="shared" si="7"/>
        <v>2765.3420393506481</v>
      </c>
      <c r="K41" s="142">
        <f t="shared" si="7"/>
        <v>-471.11551178559171</v>
      </c>
      <c r="L41" s="142">
        <f t="shared" si="7"/>
        <v>5613.091408528815</v>
      </c>
      <c r="M41" s="142">
        <f t="shared" si="7"/>
        <v>3483.626318019773</v>
      </c>
      <c r="N41" s="142">
        <f t="shared" si="7"/>
        <v>-1256.7453813820046</v>
      </c>
      <c r="P41" s="49">
        <f>MIN(F41:N41)</f>
        <v>-1957.0963840598142</v>
      </c>
      <c r="Q41" s="155">
        <f>MAX(F41:N41)</f>
        <v>5613.091408528815</v>
      </c>
    </row>
    <row r="42" spans="2:20" x14ac:dyDescent="0.25">
      <c r="B42" s="143" t="s">
        <v>91</v>
      </c>
      <c r="C42" s="144" t="s">
        <v>102</v>
      </c>
      <c r="D42" s="144" t="s">
        <v>97</v>
      </c>
      <c r="E42" s="144"/>
      <c r="F42" s="146">
        <f>SQRT(F27^2+F28^2+F29^2)*SIGN(F29)</f>
        <v>-7003.3081187464541</v>
      </c>
      <c r="G42" s="146">
        <f t="shared" ref="G42:N42" si="8">SQRT(G27^2+G28^2+G29^2)*SIGN(G29)</f>
        <v>-28938.810781787492</v>
      </c>
      <c r="H42" s="146">
        <f>SQRT(H27^2+H28^2+H29^2)*SIGN(H29)</f>
        <v>-23792.57097420327</v>
      </c>
      <c r="I42" s="146">
        <f>SQRT(I27^2+I28^2+I29^2)*SIGN(I29)</f>
        <v>-11658.349431034396</v>
      </c>
      <c r="J42" s="146">
        <f t="shared" si="8"/>
        <v>-21950.203818919312</v>
      </c>
      <c r="K42" s="146">
        <f t="shared" si="8"/>
        <v>-7060.5356151003152</v>
      </c>
      <c r="L42" s="146">
        <f t="shared" si="8"/>
        <v>-16036.596803015907</v>
      </c>
      <c r="M42" s="146">
        <f t="shared" si="8"/>
        <v>-6241.1874525926551</v>
      </c>
      <c r="N42" s="146">
        <f t="shared" si="8"/>
        <v>-18582.426744171495</v>
      </c>
      <c r="O42" s="5"/>
      <c r="P42" s="157">
        <f>MIN(F42:N42)</f>
        <v>-28938.810781787492</v>
      </c>
      <c r="Q42" s="158">
        <f>MAX(F42:N42)</f>
        <v>-6241.1874525926551</v>
      </c>
    </row>
    <row r="44" spans="2:20" ht="15.75" x14ac:dyDescent="0.25">
      <c r="B44" s="151" t="s">
        <v>103</v>
      </c>
      <c r="C44" s="151"/>
      <c r="D44" s="151"/>
      <c r="E44" s="151"/>
    </row>
    <row r="45" spans="2:20" x14ac:dyDescent="0.25">
      <c r="B45" s="56" t="s">
        <v>80</v>
      </c>
      <c r="C45" s="136" t="s">
        <v>101</v>
      </c>
      <c r="D45" s="136" t="s">
        <v>97</v>
      </c>
      <c r="E45" s="136"/>
      <c r="F45" s="138">
        <f>SQRT(F12^2+F13^2+F14^2)</f>
        <v>21848.444344759217</v>
      </c>
      <c r="G45" s="138">
        <f t="shared" ref="G45:N45" si="9">SQRT(G12^2+G13^2+G14^2)</f>
        <v>27067.980091644244</v>
      </c>
      <c r="H45" s="138">
        <f>SQRT(H12^2+H13^2+H14^2)</f>
        <v>13980.14780266956</v>
      </c>
      <c r="I45" s="138">
        <f>SQRT(I12^2+I13^2+I14^2)</f>
        <v>10236.395845811356</v>
      </c>
      <c r="J45" s="138">
        <f t="shared" si="9"/>
        <v>11960.590843440637</v>
      </c>
      <c r="K45" s="138">
        <f t="shared" si="9"/>
        <v>15226.697202624082</v>
      </c>
      <c r="L45" s="138">
        <f t="shared" si="9"/>
        <v>18608.952682072384</v>
      </c>
      <c r="M45" s="138">
        <f t="shared" si="9"/>
        <v>22917.3247753092</v>
      </c>
      <c r="N45" s="138">
        <f t="shared" si="9"/>
        <v>17381.701464047786</v>
      </c>
      <c r="O45" s="139"/>
      <c r="P45" s="152">
        <f>MIN(F45:N45)</f>
        <v>10236.395845811356</v>
      </c>
      <c r="Q45" s="153">
        <f>MAX(F45:N45)</f>
        <v>27067.980091644244</v>
      </c>
    </row>
    <row r="46" spans="2:20" x14ac:dyDescent="0.25">
      <c r="B46" s="143" t="s">
        <v>88</v>
      </c>
      <c r="C46" s="144" t="s">
        <v>101</v>
      </c>
      <c r="D46" s="144" t="s">
        <v>97</v>
      </c>
      <c r="E46" s="144"/>
      <c r="F46" s="146">
        <f t="shared" ref="F46:N46" si="10">SQRT(F21^2+F22^2+F23^2)</f>
        <v>12368.754957880765</v>
      </c>
      <c r="G46" s="146">
        <f t="shared" si="10"/>
        <v>3294.2756170023181</v>
      </c>
      <c r="H46" s="146">
        <f>SQRT(H21^2+H22^2+H23^2)</f>
        <v>7904.9556111063957</v>
      </c>
      <c r="I46" s="146">
        <f>SQRT(I21^2+I22^2+I23^2)</f>
        <v>5203.9040731782334</v>
      </c>
      <c r="J46" s="146">
        <f t="shared" si="10"/>
        <v>8080.443931259284</v>
      </c>
      <c r="K46" s="146">
        <f t="shared" si="10"/>
        <v>4922.0388844802928</v>
      </c>
      <c r="L46" s="146">
        <f t="shared" si="10"/>
        <v>9402.5629492229418</v>
      </c>
      <c r="M46" s="146">
        <f t="shared" si="10"/>
        <v>12584.269433956029</v>
      </c>
      <c r="N46" s="146">
        <f t="shared" si="10"/>
        <v>2115.4356544608017</v>
      </c>
      <c r="O46" s="5"/>
      <c r="P46" s="157">
        <f>MIN(F46:N46)</f>
        <v>2115.4356544608017</v>
      </c>
      <c r="Q46" s="158">
        <f>MAX(F46:N46)</f>
        <v>12584.269433956029</v>
      </c>
    </row>
    <row r="48" spans="2:20" x14ac:dyDescent="0.25">
      <c r="B48" s="140" t="s">
        <v>104</v>
      </c>
      <c r="T48" s="129" t="s">
        <v>105</v>
      </c>
    </row>
    <row r="49" spans="2:31" x14ac:dyDescent="0.25">
      <c r="B49" s="129" t="s">
        <v>80</v>
      </c>
      <c r="C49" s="129" t="s">
        <v>106</v>
      </c>
      <c r="D49" s="129" t="s">
        <v>97</v>
      </c>
      <c r="E49">
        <f>SQRT((E6-E12)^2+(E7-E13)^2+(E8-E14)^2)</f>
        <v>376.85558966797879</v>
      </c>
      <c r="F49" s="49">
        <f t="shared" ref="F49:N49" si="11">SQRT(F6^2+F7^2+F8^2)</f>
        <v>24009.172518734773</v>
      </c>
      <c r="G49" s="49">
        <f t="shared" si="11"/>
        <v>14946.453197271419</v>
      </c>
      <c r="H49" s="49">
        <f>SQRT(H6^2+H7^2+H8^2)</f>
        <v>2807.5403845729734</v>
      </c>
      <c r="I49" s="49">
        <f>SQRT(I6^2+I7^2+I8^2)</f>
        <v>11136.243051338679</v>
      </c>
      <c r="J49" s="49">
        <f t="shared" si="11"/>
        <v>4198.0706052948899</v>
      </c>
      <c r="K49" s="49">
        <f t="shared" si="11"/>
        <v>11814.154325508405</v>
      </c>
      <c r="L49" s="49">
        <f t="shared" si="11"/>
        <v>15039.153030556474</v>
      </c>
      <c r="M49" s="49">
        <f t="shared" si="11"/>
        <v>25574.397302832691</v>
      </c>
      <c r="N49" s="49">
        <f t="shared" si="11"/>
        <v>9597.9886396173642</v>
      </c>
    </row>
    <row r="50" spans="2:31" x14ac:dyDescent="0.25">
      <c r="B50" s="129"/>
      <c r="C50" s="129"/>
      <c r="D50" s="129" t="s">
        <v>107</v>
      </c>
      <c r="E50" s="159">
        <f>(E6-E12)/$E$49</f>
        <v>-0.52552756395224576</v>
      </c>
      <c r="F50" s="159">
        <f t="shared" ref="F50:N52" si="12">F6/F$49</f>
        <v>-0.52554914127731622</v>
      </c>
      <c r="G50" s="159">
        <f t="shared" si="12"/>
        <v>-0.52552936113525239</v>
      </c>
      <c r="H50" s="159">
        <f>H6/H$49</f>
        <v>-0.52551336682710204</v>
      </c>
      <c r="I50" s="159">
        <f>I6/I$49</f>
        <v>-0.5255273230855434</v>
      </c>
      <c r="J50" s="159">
        <f t="shared" si="12"/>
        <v>0.52552713077702684</v>
      </c>
      <c r="K50" s="159">
        <f t="shared" si="12"/>
        <v>-0.52554756175768924</v>
      </c>
      <c r="L50" s="159">
        <f t="shared" si="12"/>
        <v>-0.52551496643076345</v>
      </c>
      <c r="M50" s="159">
        <f t="shared" si="12"/>
        <v>-0.525525580949325</v>
      </c>
      <c r="N50" s="159">
        <f t="shared" si="12"/>
        <v>-0.5255267733054001</v>
      </c>
      <c r="T50" s="159">
        <f>ABS(F50)-ABS($E50)</f>
        <v>2.1577325070465392E-5</v>
      </c>
      <c r="U50" s="159">
        <f>ABS(G50)-ABS($E50)</f>
        <v>1.7971830066354499E-6</v>
      </c>
      <c r="V50" s="159" t="e">
        <f>ABS(#REF!)-ABS($E50)</f>
        <v>#REF!</v>
      </c>
      <c r="W50" s="159">
        <f>ABS(J50)-ABS($E50)</f>
        <v>-4.3317521891683697E-7</v>
      </c>
      <c r="X50" s="159">
        <f>ABS(K50)-ABS($E50)</f>
        <v>1.9997805443483507E-5</v>
      </c>
      <c r="Y50" s="159">
        <f>ABS(H50)-ABS($E50)</f>
        <v>-1.4197125143722289E-5</v>
      </c>
      <c r="Z50" s="159">
        <f>ABS(I50)-ABS($E50)</f>
        <v>-2.4086670236123098E-7</v>
      </c>
      <c r="AA50" s="159">
        <f>ABS(L50)-ABS($E50)</f>
        <v>-1.2597521482304863E-5</v>
      </c>
      <c r="AB50" s="159">
        <f>ABS(M50)-ABS($E50)</f>
        <v>-1.9830029207579258E-6</v>
      </c>
      <c r="AC50" s="159" t="e">
        <f>ABS(#REF!)-ABS($E50)</f>
        <v>#REF!</v>
      </c>
      <c r="AD50" s="159" t="e">
        <f>ABS(#REF!)-ABS($E50)</f>
        <v>#REF!</v>
      </c>
      <c r="AE50" s="159">
        <f t="shared" ref="AE50:AE52" si="13">ABS(N50)-ABS($E50)</f>
        <v>-7.9064684566088062E-7</v>
      </c>
    </row>
    <row r="51" spans="2:31" x14ac:dyDescent="0.25">
      <c r="C51" s="129"/>
      <c r="D51" s="129" t="s">
        <v>108</v>
      </c>
      <c r="E51" s="159">
        <f>(E7-E13)/$E$49</f>
        <v>0.8507715124577937</v>
      </c>
      <c r="F51" s="159">
        <f t="shared" si="12"/>
        <v>0.85075818352595201</v>
      </c>
      <c r="G51" s="159">
        <f t="shared" si="12"/>
        <v>0.85077040232671353</v>
      </c>
      <c r="H51" s="159">
        <f>H7/H$49</f>
        <v>0.85078028195961486</v>
      </c>
      <c r="I51" s="159">
        <f>I7/I$49</f>
        <v>0.85077166117177094</v>
      </c>
      <c r="J51" s="159">
        <f t="shared" si="12"/>
        <v>-0.85077177965879303</v>
      </c>
      <c r="K51" s="159">
        <f t="shared" si="12"/>
        <v>0.8507591591467949</v>
      </c>
      <c r="L51" s="159">
        <f t="shared" si="12"/>
        <v>0.85077929415328013</v>
      </c>
      <c r="M51" s="159">
        <f t="shared" si="12"/>
        <v>0.85077273737317061</v>
      </c>
      <c r="N51" s="159">
        <f t="shared" si="12"/>
        <v>0.85077200094764183</v>
      </c>
      <c r="T51" s="159">
        <f>ABS(F51)-ABS($E51)</f>
        <v>-1.3328931841694036E-5</v>
      </c>
      <c r="U51" s="159">
        <f>ABS(G51)-ABS($E51)</f>
        <v>-1.1101310801731046E-6</v>
      </c>
      <c r="V51" s="159" t="e">
        <f>ABS(#REF!)-ABS($E51)</f>
        <v>#REF!</v>
      </c>
      <c r="W51" s="159">
        <f>ABS(J51)-ABS($E51)</f>
        <v>2.6720099932653341E-7</v>
      </c>
      <c r="X51" s="159">
        <f>ABS(K51)-ABS($E51)</f>
        <v>-1.2353310998802769E-5</v>
      </c>
      <c r="Y51" s="159">
        <f>ABS(H51)-ABS($E51)</f>
        <v>8.7695018211597642E-6</v>
      </c>
      <c r="Z51" s="159">
        <f>ABS(I51)-ABS($E51)</f>
        <v>1.4871397724380842E-7</v>
      </c>
      <c r="AA51" s="159">
        <f>ABS(L51)-ABS($E51)</f>
        <v>7.7816954864307064E-6</v>
      </c>
      <c r="AB51" s="159">
        <f>ABS(M51)-ABS($E51)</f>
        <v>1.2249153769072763E-6</v>
      </c>
      <c r="AC51" s="159" t="e">
        <f>ABS(#REF!)-ABS($E51)</f>
        <v>#REF!</v>
      </c>
      <c r="AD51" s="159" t="e">
        <f>ABS(#REF!)-ABS($E51)</f>
        <v>#REF!</v>
      </c>
      <c r="AE51" s="159">
        <f t="shared" si="13"/>
        <v>4.8848984812721596E-7</v>
      </c>
    </row>
    <row r="52" spans="2:31" x14ac:dyDescent="0.25">
      <c r="D52" s="129" t="s">
        <v>109</v>
      </c>
      <c r="E52" s="159">
        <f>(E8-E14)/$E$49</f>
        <v>-2.9348111858296016E-3</v>
      </c>
      <c r="F52" s="159">
        <f t="shared" si="12"/>
        <v>-2.9348366731513338E-3</v>
      </c>
      <c r="G52" s="159">
        <f t="shared" si="12"/>
        <v>-2.9348099794008565E-3</v>
      </c>
      <c r="H52" s="159">
        <f>H8/H$49</f>
        <v>-2.9348108562481968E-3</v>
      </c>
      <c r="I52" s="159">
        <f>I8/I$49</f>
        <v>-2.9348317784848635E-3</v>
      </c>
      <c r="J52" s="159">
        <f t="shared" si="12"/>
        <v>2.9349196710650657E-3</v>
      </c>
      <c r="K52" s="159">
        <f t="shared" si="12"/>
        <v>-2.9348693985769394E-3</v>
      </c>
      <c r="L52" s="159">
        <f t="shared" si="12"/>
        <v>-2.9347397363617953E-3</v>
      </c>
      <c r="M52" s="159">
        <f t="shared" si="12"/>
        <v>-2.9348101193253373E-3</v>
      </c>
      <c r="N52" s="159">
        <f t="shared" si="12"/>
        <v>-2.934781552431901E-3</v>
      </c>
      <c r="T52" s="159">
        <f>ABS(F52)-ABS($E52)</f>
        <v>2.5487321732298174E-8</v>
      </c>
      <c r="U52" s="159">
        <f>ABS(G52)-ABS($E52)</f>
        <v>-1.2064287450985756E-9</v>
      </c>
      <c r="V52" s="159" t="e">
        <f>ABS(#REF!)-ABS($E52)</f>
        <v>#REF!</v>
      </c>
      <c r="W52" s="159">
        <f>ABS(J52)-ABS($E52)</f>
        <v>1.0848523546418826E-7</v>
      </c>
      <c r="X52" s="159">
        <f>ABS(K52)-ABS($E52)</f>
        <v>5.8212747337804682E-8</v>
      </c>
      <c r="Y52" s="159">
        <f>ABS(H52)-ABS($E52)</f>
        <v>-3.2958140470246144E-10</v>
      </c>
      <c r="Z52" s="159">
        <f>ABS(I52)-ABS($E52)</f>
        <v>2.0592655261986864E-8</v>
      </c>
      <c r="AA52" s="159">
        <f>ABS(L52)-ABS($E52)</f>
        <v>-7.1449467806215111E-8</v>
      </c>
      <c r="AB52" s="159">
        <f>ABS(M52)-ABS($E52)</f>
        <v>-1.0665042642424294E-9</v>
      </c>
      <c r="AC52" s="159" t="e">
        <f>ABS(#REF!)-ABS($E52)</f>
        <v>#REF!</v>
      </c>
      <c r="AD52" s="159" t="e">
        <f>ABS(#REF!)-ABS($E52)</f>
        <v>#REF!</v>
      </c>
      <c r="AE52" s="159">
        <f t="shared" si="13"/>
        <v>-2.9633397700522951E-8</v>
      </c>
    </row>
    <row r="53" spans="2:31" x14ac:dyDescent="0.25">
      <c r="D53" s="129" t="s">
        <v>110</v>
      </c>
      <c r="E53" s="159">
        <f>SQRT(E50^2+E51^2+E52^2)</f>
        <v>1</v>
      </c>
      <c r="F53" s="159">
        <f>SQRT(F50^2+F51^2+F52^2)</f>
        <v>1</v>
      </c>
      <c r="G53" s="159">
        <f t="shared" ref="G53:N53" si="14">SQRT(G50^2+G51^2+G52^2)</f>
        <v>0.99999999999999989</v>
      </c>
      <c r="H53" s="159">
        <f>SQRT(H50^2+H51^2+H52^2)</f>
        <v>1</v>
      </c>
      <c r="I53" s="159">
        <f>SQRT(I50^2+I51^2+I52^2)</f>
        <v>0.99999999999999978</v>
      </c>
      <c r="J53" s="159">
        <f t="shared" si="14"/>
        <v>0.99999999999999989</v>
      </c>
      <c r="K53" s="159">
        <f t="shared" si="14"/>
        <v>1.0000000000000002</v>
      </c>
      <c r="L53" s="159">
        <f t="shared" si="14"/>
        <v>1</v>
      </c>
      <c r="M53" s="159">
        <f t="shared" si="14"/>
        <v>1</v>
      </c>
      <c r="N53" s="159">
        <f t="shared" si="14"/>
        <v>1</v>
      </c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</row>
    <row r="54" spans="2:31" x14ac:dyDescent="0.25">
      <c r="D54" s="129"/>
      <c r="E54" s="159"/>
      <c r="F54" s="159"/>
      <c r="G54" s="159"/>
      <c r="J54" s="159"/>
      <c r="K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</row>
    <row r="55" spans="2:31" x14ac:dyDescent="0.25">
      <c r="B55" s="129" t="s">
        <v>80</v>
      </c>
      <c r="C55" s="129" t="s">
        <v>111</v>
      </c>
      <c r="D55" s="129" t="s">
        <v>97</v>
      </c>
      <c r="E55">
        <f>SQRT((E9-E12)^2+(E10-E13)^2+(E11-E14)^2)</f>
        <v>337.85650331760667</v>
      </c>
      <c r="F55" s="49">
        <f t="shared" ref="F55:N55" si="15">SQRT(F9^2+F10^2+F11^2)</f>
        <v>14958.893879533874</v>
      </c>
      <c r="G55" s="49">
        <f t="shared" si="15"/>
        <v>16827.676329599522</v>
      </c>
      <c r="H55" s="49">
        <f>SQRT(H9^2+H10^2+H11^2)</f>
        <v>15015.339356585451</v>
      </c>
      <c r="I55" s="49">
        <f>SQRT(I9^2+I10^2+I11^2)</f>
        <v>7418.9985812119548</v>
      </c>
      <c r="J55" s="49">
        <f t="shared" si="15"/>
        <v>9470.5083594929056</v>
      </c>
      <c r="K55" s="49">
        <f t="shared" si="15"/>
        <v>5666.0356487061572</v>
      </c>
      <c r="L55" s="49">
        <f t="shared" si="15"/>
        <v>19636.968713426446</v>
      </c>
      <c r="M55" s="49">
        <f t="shared" si="15"/>
        <v>9677.9994791291974</v>
      </c>
      <c r="N55" s="49">
        <f t="shared" si="15"/>
        <v>10805.776922280093</v>
      </c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</row>
    <row r="56" spans="2:31" x14ac:dyDescent="0.25">
      <c r="B56" s="129"/>
      <c r="C56" s="129"/>
      <c r="D56" s="129" t="s">
        <v>107</v>
      </c>
      <c r="E56" s="159">
        <f>(E9-E12)/$E$55</f>
        <v>0.52374898296290551</v>
      </c>
      <c r="F56" s="159">
        <f t="shared" ref="F56:N58" si="16">F9/F$55</f>
        <v>-0.52374861825305841</v>
      </c>
      <c r="G56" s="159">
        <f t="shared" si="16"/>
        <v>0.52374432615496758</v>
      </c>
      <c r="H56" s="159">
        <f>H9/H$55</f>
        <v>-0.52375772623152994</v>
      </c>
      <c r="I56" s="159">
        <f>I9/I$55</f>
        <v>-0.52374993167409911</v>
      </c>
      <c r="J56" s="159">
        <f t="shared" si="16"/>
        <v>-0.5237522434609404</v>
      </c>
      <c r="K56" s="159">
        <f t="shared" si="16"/>
        <v>0.52375244068181137</v>
      </c>
      <c r="L56" s="159">
        <f t="shared" si="16"/>
        <v>-0.52375700904222577</v>
      </c>
      <c r="M56" s="159">
        <f t="shared" si="16"/>
        <v>-0.52374460351346064</v>
      </c>
      <c r="N56" s="159">
        <f t="shared" si="16"/>
        <v>0.52374762506255834</v>
      </c>
      <c r="T56" s="159">
        <f>ABS(F56)-ABS($E56)</f>
        <v>-3.6470984710046395E-7</v>
      </c>
      <c r="U56" s="159">
        <f>ABS(G56)-ABS($E56)</f>
        <v>-4.6568079379305516E-6</v>
      </c>
      <c r="V56" s="159" t="e">
        <f>ABS(#REF!)-ABS($E56)</f>
        <v>#REF!</v>
      </c>
      <c r="W56" s="159">
        <f>ABS(J56)-ABS($E56)</f>
        <v>3.2604980348960311E-6</v>
      </c>
      <c r="X56" s="159">
        <f>ABS(K56)-ABS($E56)</f>
        <v>3.4577189058637714E-6</v>
      </c>
      <c r="Y56" s="159">
        <f>ABS(H56)-ABS($E56)</f>
        <v>8.7432686244337532E-6</v>
      </c>
      <c r="Z56" s="159">
        <f>ABS(I56)-ABS($E56)</f>
        <v>9.487111936046233E-7</v>
      </c>
      <c r="AA56" s="159">
        <f>ABS(L56)-ABS($E56)</f>
        <v>8.0260793202668879E-6</v>
      </c>
      <c r="AB56" s="159">
        <f>ABS(M56)-ABS($E56)</f>
        <v>-4.3794494448690102E-6</v>
      </c>
      <c r="AC56" s="159" t="e">
        <f>ABS(#REF!)-ABS($E56)</f>
        <v>#REF!</v>
      </c>
      <c r="AD56" s="159" t="e">
        <f>ABS(#REF!)-ABS($E56)</f>
        <v>#REF!</v>
      </c>
      <c r="AE56" s="159">
        <f t="shared" ref="AE56:AE82" si="17">ABS(N56)-ABS($E56)</f>
        <v>-1.3579003471653195E-6</v>
      </c>
    </row>
    <row r="57" spans="2:31" x14ac:dyDescent="0.25">
      <c r="C57" s="129"/>
      <c r="D57" s="129" t="s">
        <v>108</v>
      </c>
      <c r="E57" s="159">
        <f>(E10-E13)/$E$55</f>
        <v>0.85186757446974803</v>
      </c>
      <c r="F57" s="159">
        <f t="shared" si="16"/>
        <v>-0.8518677986902784</v>
      </c>
      <c r="G57" s="159">
        <f t="shared" si="16"/>
        <v>0.85187043767801984</v>
      </c>
      <c r="H57" s="159">
        <f>H10/H$55</f>
        <v>-0.85186219879806468</v>
      </c>
      <c r="I57" s="159">
        <f>I10/I$55</f>
        <v>-0.85186699132210586</v>
      </c>
      <c r="J57" s="159">
        <f t="shared" si="16"/>
        <v>-0.85186556980474237</v>
      </c>
      <c r="K57" s="159">
        <f t="shared" si="16"/>
        <v>0.8518654486584778</v>
      </c>
      <c r="L57" s="159">
        <f t="shared" si="16"/>
        <v>-0.8518626395000829</v>
      </c>
      <c r="M57" s="159">
        <f t="shared" si="16"/>
        <v>-0.851870266967798</v>
      </c>
      <c r="N57" s="159">
        <f t="shared" si="16"/>
        <v>0.85186840948199605</v>
      </c>
      <c r="T57" s="159">
        <f>ABS(F57)-ABS($E57)</f>
        <v>2.2422053036486034E-7</v>
      </c>
      <c r="U57" s="159">
        <f>ABS(G57)-ABS($E57)</f>
        <v>2.8632082718083041E-6</v>
      </c>
      <c r="V57" s="159" t="e">
        <f>ABS(#REF!)-ABS($E57)</f>
        <v>#REF!</v>
      </c>
      <c r="W57" s="159">
        <f>ABS(J57)-ABS($E57)</f>
        <v>-2.0046650056615434E-6</v>
      </c>
      <c r="X57" s="159">
        <f>ABS(K57)-ABS($E57)</f>
        <v>-2.1258112702371434E-6</v>
      </c>
      <c r="Y57" s="159">
        <f>ABS(H57)-ABS($E57)</f>
        <v>-5.3756716833497364E-6</v>
      </c>
      <c r="Z57" s="159">
        <f>ABS(I57)-ABS($E57)</f>
        <v>-5.8314764217470838E-7</v>
      </c>
      <c r="AA57" s="159">
        <f>ABS(L57)-ABS($E57)</f>
        <v>-4.934969665137956E-6</v>
      </c>
      <c r="AB57" s="159">
        <f>ABS(M57)-ABS($E57)</f>
        <v>2.6924980499609674E-6</v>
      </c>
      <c r="AC57" s="159" t="e">
        <f>ABS(#REF!)-ABS($E57)</f>
        <v>#REF!</v>
      </c>
      <c r="AD57" s="159" t="e">
        <f>ABS(#REF!)-ABS($E57)</f>
        <v>#REF!</v>
      </c>
      <c r="AE57" s="159">
        <f t="shared" si="17"/>
        <v>8.3501224801274532E-7</v>
      </c>
    </row>
    <row r="58" spans="2:31" x14ac:dyDescent="0.25">
      <c r="D58" s="129" t="s">
        <v>109</v>
      </c>
      <c r="E58" s="159">
        <f>(E11-E14)/$E$55</f>
        <v>2.9391176142805815E-3</v>
      </c>
      <c r="F58" s="159">
        <f t="shared" si="16"/>
        <v>-2.9391210576172628E-3</v>
      </c>
      <c r="G58" s="159">
        <f t="shared" si="16"/>
        <v>2.9390867182894666E-3</v>
      </c>
      <c r="H58" s="159">
        <f>H11/H$55</f>
        <v>-2.9391277114655763E-3</v>
      </c>
      <c r="I58" s="159">
        <f>I11/I$55</f>
        <v>-2.9390759091421706E-3</v>
      </c>
      <c r="J58" s="159">
        <f t="shared" si="16"/>
        <v>-2.9391241677221235E-3</v>
      </c>
      <c r="K58" s="159">
        <f t="shared" si="16"/>
        <v>2.9390919917354776E-3</v>
      </c>
      <c r="L58" s="159">
        <f t="shared" si="16"/>
        <v>-2.9392010978016672E-3</v>
      </c>
      <c r="M58" s="159">
        <f t="shared" si="16"/>
        <v>-2.9391404764323682E-3</v>
      </c>
      <c r="N58" s="159">
        <f t="shared" si="16"/>
        <v>2.9390760357561256E-3</v>
      </c>
      <c r="T58" s="159">
        <f>ABS(F58)-ABS($E58)</f>
        <v>3.4433366813239885E-9</v>
      </c>
      <c r="U58" s="159">
        <f>ABS(G58)-ABS($E58)</f>
        <v>-3.089599111489108E-8</v>
      </c>
      <c r="V58" s="159" t="e">
        <f>ABS(#REF!)-ABS($E58)</f>
        <v>#REF!</v>
      </c>
      <c r="W58" s="159">
        <f>ABS(J58)-ABS($E58)</f>
        <v>6.5534415420384629E-9</v>
      </c>
      <c r="X58" s="159">
        <f>ABS(K58)-ABS($E58)</f>
        <v>-2.5622545103860805E-8</v>
      </c>
      <c r="Y58" s="159">
        <f>ABS(H58)-ABS($E58)</f>
        <v>1.0097184994801306E-8</v>
      </c>
      <c r="Z58" s="159">
        <f>ABS(I58)-ABS($E58)</f>
        <v>-4.1705138410872561E-8</v>
      </c>
      <c r="AA58" s="159">
        <f>ABS(L58)-ABS($E58)</f>
        <v>8.3483521085697676E-8</v>
      </c>
      <c r="AB58" s="159">
        <f>ABS(M58)-ABS($E58)</f>
        <v>2.2862151786724044E-8</v>
      </c>
      <c r="AC58" s="159" t="e">
        <f>ABS(#REF!)-ABS($E58)</f>
        <v>#REF!</v>
      </c>
      <c r="AD58" s="159" t="e">
        <f>ABS(#REF!)-ABS($E58)</f>
        <v>#REF!</v>
      </c>
      <c r="AE58" s="159">
        <f t="shared" si="17"/>
        <v>-4.157852445587501E-8</v>
      </c>
    </row>
    <row r="59" spans="2:31" x14ac:dyDescent="0.25">
      <c r="D59" s="129" t="s">
        <v>110</v>
      </c>
      <c r="E59" s="159">
        <f>SQRT(E56^2+E57^2+E58^2)</f>
        <v>1</v>
      </c>
      <c r="F59" s="159">
        <f>SQRT(F56^2+F57^2+F58^2)</f>
        <v>1</v>
      </c>
      <c r="G59" s="159">
        <f t="shared" ref="G59:N59" si="18">SQRT(G56^2+G57^2+G58^2)</f>
        <v>0.99999999999999989</v>
      </c>
      <c r="H59" s="159">
        <f>SQRT(H56^2+H57^2+H58^2)</f>
        <v>1</v>
      </c>
      <c r="I59" s="159">
        <f>SQRT(I56^2+I57^2+I58^2)</f>
        <v>1</v>
      </c>
      <c r="J59" s="159">
        <f t="shared" si="18"/>
        <v>1</v>
      </c>
      <c r="K59" s="159">
        <f t="shared" si="18"/>
        <v>1</v>
      </c>
      <c r="L59" s="159">
        <f t="shared" si="18"/>
        <v>0.99999999999999978</v>
      </c>
      <c r="M59" s="159">
        <f t="shared" si="18"/>
        <v>0.99999999999999978</v>
      </c>
      <c r="N59" s="159">
        <f t="shared" si="18"/>
        <v>0.99999999999999989</v>
      </c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</row>
    <row r="60" spans="2:31" x14ac:dyDescent="0.25">
      <c r="D60" s="129"/>
      <c r="E60" s="159"/>
      <c r="F60" s="159"/>
      <c r="G60" s="159"/>
      <c r="J60" s="159"/>
      <c r="K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</row>
    <row r="61" spans="2:31" x14ac:dyDescent="0.25">
      <c r="B61" s="129" t="s">
        <v>88</v>
      </c>
      <c r="C61" s="129" t="s">
        <v>106</v>
      </c>
      <c r="D61" s="129" t="s">
        <v>97</v>
      </c>
      <c r="E61">
        <f>SQRT((E15-E21)^2+(E16-E22)^2+(E17-E23)^2)</f>
        <v>231.87579793717154</v>
      </c>
      <c r="F61" s="49">
        <f t="shared" ref="F61:N61" si="19">SQRT(F15^2+F16^2+F17^2)</f>
        <v>14114.375073310897</v>
      </c>
      <c r="G61" s="49">
        <f t="shared" si="19"/>
        <v>1969.882611582731</v>
      </c>
      <c r="H61" s="49">
        <f>SQRT(H15^2+H16^2+H17^2)</f>
        <v>421.26910038892009</v>
      </c>
      <c r="I61" s="49">
        <f>SQRT(I15^2+I16^2+I17^2)</f>
        <v>5499.9438586153765</v>
      </c>
      <c r="J61" s="49">
        <f t="shared" si="19"/>
        <v>3884.7677400360758</v>
      </c>
      <c r="K61" s="49">
        <f t="shared" si="19"/>
        <v>4690.4517263096313</v>
      </c>
      <c r="L61" s="49">
        <f t="shared" si="19"/>
        <v>8700.7235920985331</v>
      </c>
      <c r="M61" s="49">
        <f t="shared" si="19"/>
        <v>14343.126472063195</v>
      </c>
      <c r="N61" s="49">
        <f t="shared" si="19"/>
        <v>1264.9773904793713</v>
      </c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</row>
    <row r="62" spans="2:31" x14ac:dyDescent="0.25">
      <c r="B62" s="129"/>
      <c r="C62" s="129"/>
      <c r="D62" s="129" t="s">
        <v>107</v>
      </c>
      <c r="E62" s="159">
        <f>(E15-E21)/E$61</f>
        <v>-0.38736254839471168</v>
      </c>
      <c r="F62" s="159">
        <f t="shared" ref="F62:N64" si="20">F15/F$61</f>
        <v>0.38737102929470713</v>
      </c>
      <c r="G62" s="159">
        <f t="shared" si="20"/>
        <v>0.38735810728686837</v>
      </c>
      <c r="H62" s="159">
        <f>H15/H$61</f>
        <v>0.38735335643974483</v>
      </c>
      <c r="I62" s="159">
        <f>I15/I$61</f>
        <v>0.38736759042779723</v>
      </c>
      <c r="J62" s="159">
        <f t="shared" si="20"/>
        <v>-0.38735906512290635</v>
      </c>
      <c r="K62" s="159">
        <f t="shared" si="20"/>
        <v>0.38736141122797707</v>
      </c>
      <c r="L62" s="159">
        <f t="shared" si="20"/>
        <v>0.38735858740078827</v>
      </c>
      <c r="M62" s="159">
        <f t="shared" si="20"/>
        <v>0.38734930008609364</v>
      </c>
      <c r="N62" s="159">
        <f t="shared" si="20"/>
        <v>0.38735079669235445</v>
      </c>
      <c r="T62" s="159">
        <f>ABS(F62)-ABS($E62)</f>
        <v>8.4808999954444353E-6</v>
      </c>
      <c r="U62" s="159">
        <f>ABS(G62)-ABS($E62)</f>
        <v>-4.4411078433115314E-6</v>
      </c>
      <c r="V62" s="159" t="e">
        <f>ABS(#REF!)-ABS($E62)</f>
        <v>#REF!</v>
      </c>
      <c r="W62" s="159">
        <f>ABS(J62)-ABS($E62)</f>
        <v>-3.4832718053268152E-6</v>
      </c>
      <c r="X62" s="159">
        <f>ABS(K62)-ABS($E62)</f>
        <v>-1.1371667346105063E-6</v>
      </c>
      <c r="Y62" s="159">
        <f>ABS(H62)-ABS($E62)</f>
        <v>-9.1919549668473266E-6</v>
      </c>
      <c r="Z62" s="159">
        <f>ABS(I62)-ABS($E62)</f>
        <v>5.0420330855449613E-6</v>
      </c>
      <c r="AA62" s="159">
        <f>ABS(L62)-ABS($E62)</f>
        <v>-3.960993923413092E-6</v>
      </c>
      <c r="AB62" s="159">
        <f>ABS(M62)-ABS($E62)</f>
        <v>-1.3248308618041271E-5</v>
      </c>
      <c r="AC62" s="159" t="e">
        <f>ABS(#REF!)-ABS($E62)</f>
        <v>#REF!</v>
      </c>
      <c r="AD62" s="159" t="e">
        <f>ABS(#REF!)-ABS($E62)</f>
        <v>#REF!</v>
      </c>
      <c r="AE62" s="159">
        <f t="shared" si="17"/>
        <v>-1.1751702357232219E-5</v>
      </c>
    </row>
    <row r="63" spans="2:31" x14ac:dyDescent="0.25">
      <c r="C63" s="129"/>
      <c r="D63" s="129" t="s">
        <v>108</v>
      </c>
      <c r="E63" s="159">
        <f>(E16-E22)/E$61</f>
        <v>0.92182971186116258</v>
      </c>
      <c r="F63" s="159">
        <f t="shared" si="20"/>
        <v>-0.92182614762751436</v>
      </c>
      <c r="G63" s="159">
        <f t="shared" si="20"/>
        <v>-0.92183157987317255</v>
      </c>
      <c r="H63" s="159">
        <f>H16/H$61</f>
        <v>-0.92183357298572421</v>
      </c>
      <c r="I63" s="159">
        <f>I16/I$61</f>
        <v>-0.92182759139588455</v>
      </c>
      <c r="J63" s="159">
        <f t="shared" si="20"/>
        <v>0.92183117232299305</v>
      </c>
      <c r="K63" s="159">
        <f t="shared" si="20"/>
        <v>-0.92183018871018063</v>
      </c>
      <c r="L63" s="159">
        <f t="shared" si="20"/>
        <v>-0.92183137587359065</v>
      </c>
      <c r="M63" s="159">
        <f t="shared" si="20"/>
        <v>-0.92183527948060229</v>
      </c>
      <c r="N63" s="159">
        <f t="shared" si="20"/>
        <v>-0.92183465789700703</v>
      </c>
      <c r="T63" s="159">
        <f>ABS(F63)-ABS($E63)</f>
        <v>-3.5642336482233361E-6</v>
      </c>
      <c r="U63" s="159">
        <f>ABS(G63)-ABS($E63)</f>
        <v>1.8680120099645592E-6</v>
      </c>
      <c r="V63" s="159" t="e">
        <f>ABS(#REF!)-ABS($E63)</f>
        <v>#REF!</v>
      </c>
      <c r="W63" s="159">
        <f>ABS(J63)-ABS($E63)</f>
        <v>1.4604618304714378E-6</v>
      </c>
      <c r="X63" s="159">
        <f>ABS(K63)-ABS($E63)</f>
        <v>4.7684901804956326E-7</v>
      </c>
      <c r="Y63" s="159">
        <f>ABS(H63)-ABS($E63)</f>
        <v>3.8611245616326784E-6</v>
      </c>
      <c r="Z63" s="159">
        <f>ABS(I63)-ABS($E63)</f>
        <v>-2.1204652780326683E-6</v>
      </c>
      <c r="AA63" s="159">
        <f>ABS(L63)-ABS($E63)</f>
        <v>1.6640124280709045E-6</v>
      </c>
      <c r="AB63" s="159">
        <f>ABS(M63)-ABS($E63)</f>
        <v>5.5676194397058509E-6</v>
      </c>
      <c r="AC63" s="159" t="e">
        <f>ABS(#REF!)-ABS($E63)</f>
        <v>#REF!</v>
      </c>
      <c r="AD63" s="159" t="e">
        <f>ABS(#REF!)-ABS($E63)</f>
        <v>#REF!</v>
      </c>
      <c r="AE63" s="159">
        <f t="shared" si="17"/>
        <v>4.9460358444441965E-6</v>
      </c>
    </row>
    <row r="64" spans="2:31" x14ac:dyDescent="0.25">
      <c r="D64" s="129" t="s">
        <v>109</v>
      </c>
      <c r="E64" s="159">
        <f>(E17-E23)/E$61</f>
        <v>-1.3425290727596718E-2</v>
      </c>
      <c r="F64" s="159">
        <f t="shared" si="20"/>
        <v>1.3425319861189586E-2</v>
      </c>
      <c r="G64" s="159">
        <f t="shared" si="20"/>
        <v>1.3425165461383294E-2</v>
      </c>
      <c r="H64" s="159">
        <f>H17/H$61</f>
        <v>1.3425385329184121E-2</v>
      </c>
      <c r="I64" s="159">
        <f>I17/I$61</f>
        <v>1.3425409767471542E-2</v>
      </c>
      <c r="J64" s="159">
        <f t="shared" si="20"/>
        <v>-1.3425513052555278E-2</v>
      </c>
      <c r="K64" s="159">
        <f t="shared" si="20"/>
        <v>1.3425359362891156E-2</v>
      </c>
      <c r="L64" s="159">
        <f t="shared" si="20"/>
        <v>1.3425320177517158E-2</v>
      </c>
      <c r="M64" s="159">
        <f t="shared" si="20"/>
        <v>1.3425245909604052E-2</v>
      </c>
      <c r="N64" s="159">
        <f t="shared" si="20"/>
        <v>1.3424745871200561E-2</v>
      </c>
      <c r="T64" s="159">
        <f>ABS(F64)-ABS($E64)</f>
        <v>2.9133592868019198E-8</v>
      </c>
      <c r="U64" s="159">
        <f>ABS(G64)-ABS($E64)</f>
        <v>-1.2526621342469346E-7</v>
      </c>
      <c r="V64" s="159" t="e">
        <f>ABS(#REF!)-ABS($E64)</f>
        <v>#REF!</v>
      </c>
      <c r="W64" s="159">
        <f>ABS(J64)-ABS($E64)</f>
        <v>2.2232495855943613E-7</v>
      </c>
      <c r="X64" s="159">
        <f>ABS(K64)-ABS($E64)</f>
        <v>6.8635294437485728E-8</v>
      </c>
      <c r="Y64" s="159">
        <f>ABS(H64)-ABS($E64)</f>
        <v>9.4601587402251552E-8</v>
      </c>
      <c r="Z64" s="159">
        <f>ABS(I64)-ABS($E64)</f>
        <v>1.1903987482374256E-7</v>
      </c>
      <c r="AA64" s="159">
        <f>ABS(L64)-ABS($E64)</f>
        <v>2.9449920439794663E-8</v>
      </c>
      <c r="AB64" s="159">
        <f>ABS(M64)-ABS($E64)</f>
        <v>-4.4817992666049133E-8</v>
      </c>
      <c r="AC64" s="159" t="e">
        <f>ABS(#REF!)-ABS($E64)</f>
        <v>#REF!</v>
      </c>
      <c r="AD64" s="159" t="e">
        <f>ABS(#REF!)-ABS($E64)</f>
        <v>#REF!</v>
      </c>
      <c r="AE64" s="159">
        <f t="shared" si="17"/>
        <v>-5.4485639615700632E-7</v>
      </c>
    </row>
    <row r="65" spans="2:31" x14ac:dyDescent="0.25">
      <c r="D65" s="129" t="s">
        <v>110</v>
      </c>
      <c r="E65" s="159">
        <f>SQRT(E62^2+E63^2+E64^2)</f>
        <v>0.99999999999999989</v>
      </c>
      <c r="F65" s="159">
        <f>SQRT(F62^2+F63^2+F64^2)</f>
        <v>1</v>
      </c>
      <c r="G65" s="159">
        <f t="shared" ref="G65:N65" si="21">SQRT(G62^2+G63^2+G64^2)</f>
        <v>0.99999999999999989</v>
      </c>
      <c r="H65" s="159">
        <f>SQRT(H62^2+H63^2+H64^2)</f>
        <v>0.99999999999999978</v>
      </c>
      <c r="I65" s="159">
        <f>SQRT(I62^2+I63^2+I64^2)</f>
        <v>1</v>
      </c>
      <c r="J65" s="159">
        <f t="shared" si="21"/>
        <v>1</v>
      </c>
      <c r="K65" s="159">
        <f t="shared" si="21"/>
        <v>1</v>
      </c>
      <c r="L65" s="159">
        <f t="shared" si="21"/>
        <v>1</v>
      </c>
      <c r="M65" s="159">
        <f t="shared" si="21"/>
        <v>1</v>
      </c>
      <c r="N65" s="159">
        <f t="shared" si="21"/>
        <v>1</v>
      </c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</row>
    <row r="66" spans="2:31" x14ac:dyDescent="0.25">
      <c r="D66" s="129"/>
      <c r="E66" s="159"/>
      <c r="F66" s="159"/>
      <c r="G66" s="159"/>
      <c r="J66" s="159"/>
      <c r="K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</row>
    <row r="67" spans="2:31" x14ac:dyDescent="0.25">
      <c r="B67" s="129" t="s">
        <v>88</v>
      </c>
      <c r="C67" s="129" t="s">
        <v>111</v>
      </c>
      <c r="D67" s="129" t="s">
        <v>97</v>
      </c>
      <c r="E67">
        <f>SQRT((E18-E21)^2+(E19-E22)^2+(E20-E23)^2)</f>
        <v>247.03867484262454</v>
      </c>
      <c r="F67" s="49">
        <f t="shared" ref="F67:N67" si="22">SQRT(F18^2+F19^2+F20^2)</f>
        <v>7734.9906748489357</v>
      </c>
      <c r="G67" s="49">
        <f t="shared" si="22"/>
        <v>1851.5734698898664</v>
      </c>
      <c r="H67" s="49">
        <f>SQRT(H18^2+H19^2+H20^2)</f>
        <v>8101.0071330668516</v>
      </c>
      <c r="I67" s="49">
        <f>SQRT(I18^2+I19^2+I20^2)</f>
        <v>4663.540288621939</v>
      </c>
      <c r="J67" s="49">
        <f t="shared" si="22"/>
        <v>5445.2947490103788</v>
      </c>
      <c r="K67" s="49">
        <f t="shared" si="22"/>
        <v>445.06059691799277</v>
      </c>
      <c r="L67" s="49">
        <f t="shared" si="22"/>
        <v>9755.2862966701286</v>
      </c>
      <c r="M67" s="49">
        <f t="shared" si="22"/>
        <v>5879.7548461139086</v>
      </c>
      <c r="N67" s="49">
        <f t="shared" si="22"/>
        <v>1188.9884979679157</v>
      </c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</row>
    <row r="68" spans="2:31" x14ac:dyDescent="0.25">
      <c r="B68" s="129"/>
      <c r="C68" s="129"/>
      <c r="D68" s="129" t="s">
        <v>107</v>
      </c>
      <c r="E68" s="159">
        <f>(E18-E21)/E$67</f>
        <v>0.60792100708794627</v>
      </c>
      <c r="F68" s="159">
        <f t="shared" ref="F68:N70" si="23">F18/F$67</f>
        <v>0.60792574906263042</v>
      </c>
      <c r="G68" s="159">
        <f t="shared" si="23"/>
        <v>-0.60791538564599967</v>
      </c>
      <c r="H68" s="159">
        <f>H18/H$67</f>
        <v>0.60792441224966387</v>
      </c>
      <c r="I68" s="159">
        <f>I18/I$67</f>
        <v>0.6079287032036691</v>
      </c>
      <c r="J68" s="159">
        <f t="shared" si="23"/>
        <v>0.6079193418504315</v>
      </c>
      <c r="K68" s="159">
        <f t="shared" si="23"/>
        <v>-0.60791721818018774</v>
      </c>
      <c r="L68" s="159">
        <f t="shared" si="23"/>
        <v>0.60791655105235443</v>
      </c>
      <c r="M68" s="159">
        <f t="shared" si="23"/>
        <v>0.60791650222669047</v>
      </c>
      <c r="N68" s="159">
        <f t="shared" si="23"/>
        <v>-0.60792009446293616</v>
      </c>
      <c r="T68" s="159">
        <f>ABS(F68)-ABS($E68)</f>
        <v>4.7419746841415034E-6</v>
      </c>
      <c r="U68" s="159">
        <f>ABS(G68)-ABS($E68)</f>
        <v>-5.6214419466016352E-6</v>
      </c>
      <c r="V68" s="159" t="e">
        <f>ABS(#REF!)-ABS($E68)</f>
        <v>#REF!</v>
      </c>
      <c r="W68" s="159">
        <f>ABS(J68)-ABS($E68)</f>
        <v>-1.6652375147696574E-6</v>
      </c>
      <c r="X68" s="159">
        <f>ABS(K68)-ABS($E68)</f>
        <v>-3.7889077585395725E-6</v>
      </c>
      <c r="Y68" s="159">
        <f>ABS(H68)-ABS($E68)</f>
        <v>3.4051617175956395E-6</v>
      </c>
      <c r="Z68" s="159">
        <f>ABS(I68)-ABS($E68)</f>
        <v>7.6961157228216948E-6</v>
      </c>
      <c r="AA68" s="159">
        <f>ABS(L68)-ABS($E68)</f>
        <v>-4.456035591848817E-6</v>
      </c>
      <c r="AB68" s="159">
        <f>ABS(M68)-ABS($E68)</f>
        <v>-4.5048612558051815E-6</v>
      </c>
      <c r="AC68" s="159" t="e">
        <f>ABS(#REF!)-ABS($E68)</f>
        <v>#REF!</v>
      </c>
      <c r="AD68" s="159" t="e">
        <f>ABS(#REF!)-ABS($E68)</f>
        <v>#REF!</v>
      </c>
      <c r="AE68" s="159">
        <f t="shared" si="17"/>
        <v>-9.1262501011879493E-7</v>
      </c>
    </row>
    <row r="69" spans="2:31" x14ac:dyDescent="0.25">
      <c r="C69" s="129"/>
      <c r="D69" s="129" t="s">
        <v>108</v>
      </c>
      <c r="E69" s="159">
        <f>(E19-E22)/E$67</f>
        <v>0.78025029936220391</v>
      </c>
      <c r="F69" s="159">
        <f t="shared" si="23"/>
        <v>0.78024657736486114</v>
      </c>
      <c r="G69" s="159">
        <f t="shared" si="23"/>
        <v>-0.78025529285960893</v>
      </c>
      <c r="H69" s="159">
        <f>H19/H$67</f>
        <v>0.78024866490977807</v>
      </c>
      <c r="I69" s="159">
        <f>I19/I$67</f>
        <v>0.78024414389164076</v>
      </c>
      <c r="J69" s="159">
        <f t="shared" si="23"/>
        <v>0.78025161094762652</v>
      </c>
      <c r="K69" s="159">
        <f t="shared" si="23"/>
        <v>-0.78025330124649617</v>
      </c>
      <c r="L69" s="159">
        <f t="shared" si="23"/>
        <v>0.78025388169265164</v>
      </c>
      <c r="M69" s="159">
        <f t="shared" si="23"/>
        <v>0.78025361942294869</v>
      </c>
      <c r="N69" s="159">
        <f t="shared" si="23"/>
        <v>-0.78025145035930688</v>
      </c>
      <c r="T69" s="159">
        <f>ABS(F69)-ABS($E69)</f>
        <v>-3.7219973427760067E-6</v>
      </c>
      <c r="U69" s="159">
        <f>ABS(G69)-ABS($E69)</f>
        <v>4.9934974050147574E-6</v>
      </c>
      <c r="V69" s="159" t="e">
        <f>ABS(#REF!)-ABS($E69)</f>
        <v>#REF!</v>
      </c>
      <c r="W69" s="159">
        <f>ABS(J69)-ABS($E69)</f>
        <v>1.3115854226031232E-6</v>
      </c>
      <c r="X69" s="159">
        <f>ABS(K69)-ABS($E69)</f>
        <v>3.0018842922530098E-6</v>
      </c>
      <c r="Y69" s="159">
        <f>ABS(H69)-ABS($E69)</f>
        <v>-1.6344524258471438E-6</v>
      </c>
      <c r="Z69" s="159">
        <f>ABS(I69)-ABS($E69)</f>
        <v>-6.1554705631516882E-6</v>
      </c>
      <c r="AA69" s="159">
        <f>ABS(L69)-ABS($E69)</f>
        <v>3.5823304477267115E-6</v>
      </c>
      <c r="AB69" s="159">
        <f>ABS(M69)-ABS($E69)</f>
        <v>3.3200607447714248E-6</v>
      </c>
      <c r="AC69" s="159" t="e">
        <f>ABS(#REF!)-ABS($E69)</f>
        <v>#REF!</v>
      </c>
      <c r="AD69" s="159" t="e">
        <f>ABS(#REF!)-ABS($E69)</f>
        <v>#REF!</v>
      </c>
      <c r="AE69" s="159">
        <f t="shared" si="17"/>
        <v>1.1509971029610711E-6</v>
      </c>
    </row>
    <row r="70" spans="2:31" x14ac:dyDescent="0.25">
      <c r="D70" s="129" t="s">
        <v>109</v>
      </c>
      <c r="E70" s="159">
        <f>(E20-E23)/E$67</f>
        <v>-0.14711056891457006</v>
      </c>
      <c r="F70" s="159">
        <f t="shared" si="23"/>
        <v>-0.14711071387584101</v>
      </c>
      <c r="G70" s="159">
        <f t="shared" si="23"/>
        <v>0.14710731409226849</v>
      </c>
      <c r="H70" s="159">
        <f>H20/H$67</f>
        <v>-0.14710516611393851</v>
      </c>
      <c r="I70" s="159">
        <f>I20/I$67</f>
        <v>-0.14711141269087835</v>
      </c>
      <c r="J70" s="159">
        <f t="shared" si="23"/>
        <v>-0.1471104939077143</v>
      </c>
      <c r="K70" s="159">
        <f t="shared" si="23"/>
        <v>0.14711030464928826</v>
      </c>
      <c r="L70" s="159">
        <f t="shared" si="23"/>
        <v>-0.14710998287050348</v>
      </c>
      <c r="M70" s="159">
        <f t="shared" si="23"/>
        <v>-0.14711157567592958</v>
      </c>
      <c r="N70" s="159">
        <f t="shared" si="23"/>
        <v>0.14710823552871732</v>
      </c>
      <c r="T70" s="159">
        <f>ABS(F70)-ABS($E70)</f>
        <v>1.4496127095919853E-7</v>
      </c>
      <c r="U70" s="159">
        <f>ABS(G70)-ABS($E70)</f>
        <v>-3.2548223015682609E-6</v>
      </c>
      <c r="V70" s="159" t="e">
        <f>ABS(#REF!)-ABS($E70)</f>
        <v>#REF!</v>
      </c>
      <c r="W70" s="159">
        <f>ABS(J70)-ABS($E70)</f>
        <v>-7.5006855754233825E-8</v>
      </c>
      <c r="X70" s="159">
        <f>ABS(K70)-ABS($E70)</f>
        <v>-2.6426528179634978E-7</v>
      </c>
      <c r="Y70" s="159">
        <f>ABS(H70)-ABS($E70)</f>
        <v>-5.4028006315487431E-6</v>
      </c>
      <c r="Z70" s="159">
        <f>ABS(I70)-ABS($E70)</f>
        <v>8.4377630829579608E-7</v>
      </c>
      <c r="AA70" s="159">
        <f>ABS(L70)-ABS($E70)</f>
        <v>-5.8604406658058217E-7</v>
      </c>
      <c r="AB70" s="159">
        <f>ABS(M70)-ABS($E70)</f>
        <v>1.0067613595288183E-6</v>
      </c>
      <c r="AC70" s="159" t="e">
        <f>ABS(#REF!)-ABS($E70)</f>
        <v>#REF!</v>
      </c>
      <c r="AD70" s="159" t="e">
        <f>ABS(#REF!)-ABS($E70)</f>
        <v>#REF!</v>
      </c>
      <c r="AE70" s="159">
        <f t="shared" si="17"/>
        <v>-2.3333858527319062E-6</v>
      </c>
    </row>
    <row r="71" spans="2:31" x14ac:dyDescent="0.25">
      <c r="D71" s="129" t="s">
        <v>110</v>
      </c>
      <c r="E71" s="159">
        <f>SQRT(E68^2+E69^2+E70^2)</f>
        <v>1</v>
      </c>
      <c r="F71" s="159">
        <f>SQRT(F68^2+F69^2+F70^2)</f>
        <v>1</v>
      </c>
      <c r="G71" s="159">
        <f t="shared" ref="G71:N71" si="24">SQRT(G68^2+G69^2+G70^2)</f>
        <v>0.99999999999999989</v>
      </c>
      <c r="H71" s="159">
        <f>SQRT(H68^2+H69^2+H70^2)</f>
        <v>1</v>
      </c>
      <c r="I71" s="159">
        <f>SQRT(I68^2+I69^2+I70^2)</f>
        <v>1</v>
      </c>
      <c r="J71" s="159">
        <f t="shared" si="24"/>
        <v>0.99999999999999989</v>
      </c>
      <c r="K71" s="159">
        <f t="shared" si="24"/>
        <v>1</v>
      </c>
      <c r="L71" s="159">
        <f t="shared" si="24"/>
        <v>1</v>
      </c>
      <c r="M71" s="159">
        <f t="shared" si="24"/>
        <v>1</v>
      </c>
      <c r="N71" s="159">
        <f t="shared" si="24"/>
        <v>0.99999999999999989</v>
      </c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</row>
    <row r="72" spans="2:31" x14ac:dyDescent="0.25">
      <c r="D72" s="129"/>
      <c r="E72" s="159"/>
      <c r="F72" s="159"/>
      <c r="G72" s="159"/>
      <c r="J72" s="159"/>
      <c r="K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</row>
    <row r="73" spans="2:31" x14ac:dyDescent="0.25">
      <c r="B73" s="129" t="s">
        <v>89</v>
      </c>
      <c r="C73" s="129"/>
      <c r="D73" s="129" t="s">
        <v>97</v>
      </c>
      <c r="E73">
        <f>SQRT((E24-C74)^2+(E25-C75)^2+(E26-C76)^2)</f>
        <v>255.68083620013445</v>
      </c>
      <c r="F73" s="49">
        <f t="shared" ref="F73:N73" si="25">SQRT(F24^2+F25^2+F26^2)</f>
        <v>4614.0417386495328</v>
      </c>
      <c r="G73" s="49">
        <f t="shared" si="25"/>
        <v>1957.0963840598142</v>
      </c>
      <c r="H73" s="49">
        <f>SQRT(H24^2+H25^2+H26^2)</f>
        <v>4364.9092227101355</v>
      </c>
      <c r="I73" s="49">
        <f>SQRT(I24^2+I25^2+I26^2)</f>
        <v>2572.5238730281981</v>
      </c>
      <c r="J73" s="49">
        <f t="shared" si="25"/>
        <v>2765.3420393506481</v>
      </c>
      <c r="K73" s="49">
        <f t="shared" si="25"/>
        <v>471.11551178559171</v>
      </c>
      <c r="L73" s="49">
        <f t="shared" si="25"/>
        <v>5613.091408528815</v>
      </c>
      <c r="M73" s="49">
        <f t="shared" si="25"/>
        <v>3483.626318019773</v>
      </c>
      <c r="N73" s="49">
        <f t="shared" si="25"/>
        <v>1256.7453813820046</v>
      </c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</row>
    <row r="74" spans="2:31" x14ac:dyDescent="0.25">
      <c r="B74" s="129" t="s">
        <v>112</v>
      </c>
      <c r="C74" s="141">
        <v>-98.5</v>
      </c>
      <c r="D74" s="129" t="s">
        <v>107</v>
      </c>
      <c r="E74" s="159">
        <f>(E24-C74)/E$73</f>
        <v>-0.10364484250691787</v>
      </c>
      <c r="F74" s="159">
        <f t="shared" ref="F74:N76" si="26">F24/F$73</f>
        <v>-0.1036444893842613</v>
      </c>
      <c r="G74" s="159">
        <f t="shared" si="26"/>
        <v>0.103643336961886</v>
      </c>
      <c r="H74" s="159">
        <f>H24/H$73</f>
        <v>-0.10364476714572053</v>
      </c>
      <c r="I74" s="159">
        <f>I24/I$73</f>
        <v>-0.10364529666585426</v>
      </c>
      <c r="J74" s="159">
        <f t="shared" si="26"/>
        <v>-0.10364359848494589</v>
      </c>
      <c r="K74" s="159">
        <f t="shared" si="26"/>
        <v>0.10364337148427837</v>
      </c>
      <c r="L74" s="159">
        <f t="shared" si="26"/>
        <v>-0.10364520326820782</v>
      </c>
      <c r="M74" s="159">
        <f t="shared" si="26"/>
        <v>-0.1036448709014348</v>
      </c>
      <c r="N74" s="159">
        <f t="shared" si="26"/>
        <v>0.10364868009839594</v>
      </c>
      <c r="T74" s="159">
        <f>ABS(F74)-ABS($E74)</f>
        <v>-3.5312265657394537E-7</v>
      </c>
      <c r="U74" s="159">
        <f>ABS(G74)-ABS($E74)</f>
        <v>-1.5055450318657293E-6</v>
      </c>
      <c r="V74" s="159" t="e">
        <f>ABS(#REF!)-ABS($E74)</f>
        <v>#REF!</v>
      </c>
      <c r="W74" s="159">
        <f>ABS(J74)-ABS($E74)</f>
        <v>-1.2440219719772605E-6</v>
      </c>
      <c r="X74" s="159">
        <f>ABS(K74)-ABS($E74)</f>
        <v>-1.4710226395042714E-6</v>
      </c>
      <c r="Y74" s="159">
        <f>ABS(H74)-ABS($E74)</f>
        <v>-7.5361197338086328E-8</v>
      </c>
      <c r="Z74" s="159">
        <f>ABS(I74)-ABS($E74)</f>
        <v>4.5415893638878213E-7</v>
      </c>
      <c r="AA74" s="159">
        <f>ABS(L74)-ABS($E74)</f>
        <v>3.6076128995254919E-7</v>
      </c>
      <c r="AB74" s="159">
        <f>ABS(M74)-ABS($E74)</f>
        <v>2.8394516932150893E-8</v>
      </c>
      <c r="AC74" s="159" t="e">
        <f>ABS(#REF!)-ABS($E74)</f>
        <v>#REF!</v>
      </c>
      <c r="AD74" s="159" t="e">
        <f>ABS(#REF!)-ABS($E74)</f>
        <v>#REF!</v>
      </c>
      <c r="AE74" s="159">
        <f t="shared" si="17"/>
        <v>3.8375914780675036E-6</v>
      </c>
    </row>
    <row r="75" spans="2:31" x14ac:dyDescent="0.25">
      <c r="B75" s="129" t="s">
        <v>113</v>
      </c>
      <c r="C75" s="141">
        <v>-683.8</v>
      </c>
      <c r="D75" s="129" t="s">
        <v>108</v>
      </c>
      <c r="E75" s="159">
        <f>(E25-C75)/E$73</f>
        <v>0.99264381238700949</v>
      </c>
      <c r="F75" s="159">
        <f t="shared" si="26"/>
        <v>0.99264381629554421</v>
      </c>
      <c r="G75" s="159">
        <f t="shared" si="26"/>
        <v>-0.99264400865635949</v>
      </c>
      <c r="H75" s="159">
        <f>H25/H$73</f>
        <v>0.9926437822479619</v>
      </c>
      <c r="I75" s="159">
        <f>I25/I$73</f>
        <v>0.99264384940151307</v>
      </c>
      <c r="J75" s="159">
        <f t="shared" si="26"/>
        <v>0.99264393371193071</v>
      </c>
      <c r="K75" s="159">
        <f t="shared" si="26"/>
        <v>-0.99264402954498998</v>
      </c>
      <c r="L75" s="159">
        <f t="shared" si="26"/>
        <v>0.99264373131959427</v>
      </c>
      <c r="M75" s="159">
        <f t="shared" si="26"/>
        <v>0.99264378102576167</v>
      </c>
      <c r="N75" s="159">
        <f t="shared" si="26"/>
        <v>-0.9926433933882155</v>
      </c>
      <c r="T75" s="159">
        <f>ABS(F75)-ABS($E75)</f>
        <v>3.9085347181000429E-9</v>
      </c>
      <c r="U75" s="159">
        <f>ABS(G75)-ABS($E75)</f>
        <v>1.9626934999461554E-7</v>
      </c>
      <c r="V75" s="159" t="e">
        <f>ABS(#REF!)-ABS($E75)</f>
        <v>#REF!</v>
      </c>
      <c r="W75" s="159">
        <f>ABS(J75)-ABS($E75)</f>
        <v>1.2132492122063354E-7</v>
      </c>
      <c r="X75" s="159">
        <f>ABS(K75)-ABS($E75)</f>
        <v>2.1715798048660417E-7</v>
      </c>
      <c r="Y75" s="159">
        <f>ABS(H75)-ABS($E75)</f>
        <v>-3.0139047590971302E-8</v>
      </c>
      <c r="Z75" s="159">
        <f>ABS(I75)-ABS($E75)</f>
        <v>3.7014503573296054E-8</v>
      </c>
      <c r="AA75" s="159">
        <f>ABS(L75)-ABS($E75)</f>
        <v>-8.1067415225177797E-8</v>
      </c>
      <c r="AB75" s="159">
        <f>ABS(M75)-ABS($E75)</f>
        <v>-3.1361247820882454E-8</v>
      </c>
      <c r="AC75" s="159" t="e">
        <f>ABS(#REF!)-ABS($E75)</f>
        <v>#REF!</v>
      </c>
      <c r="AD75" s="159" t="e">
        <f>ABS(#REF!)-ABS($E75)</f>
        <v>#REF!</v>
      </c>
      <c r="AE75" s="159">
        <f t="shared" si="17"/>
        <v>-4.1899879399398543E-7</v>
      </c>
    </row>
    <row r="76" spans="2:31" x14ac:dyDescent="0.25">
      <c r="B76" s="129" t="s">
        <v>114</v>
      </c>
      <c r="C76" s="141">
        <v>412</v>
      </c>
      <c r="D76" s="129" t="s">
        <v>109</v>
      </c>
      <c r="E76" s="159">
        <f>(E26-C76)/E$73</f>
        <v>-6.2578018117384379E-2</v>
      </c>
      <c r="F76" s="159">
        <f t="shared" si="26"/>
        <v>-6.2578540974471172E-2</v>
      </c>
      <c r="G76" s="159">
        <f t="shared" si="26"/>
        <v>6.2577398332292339E-2</v>
      </c>
      <c r="H76" s="159">
        <f>H26/H$73</f>
        <v>-6.2578621012054733E-2</v>
      </c>
      <c r="I76" s="159">
        <f>I26/I$73</f>
        <v>-6.2576678758088811E-2</v>
      </c>
      <c r="J76" s="159">
        <f t="shared" si="26"/>
        <v>-6.2578153999580916E-2</v>
      </c>
      <c r="K76" s="159">
        <f t="shared" si="26"/>
        <v>6.257700980437475E-2</v>
      </c>
      <c r="L76" s="159">
        <f t="shared" si="26"/>
        <v>-6.2578706533493789E-2</v>
      </c>
      <c r="M76" s="159">
        <f t="shared" si="26"/>
        <v>-6.2578468555123209E-2</v>
      </c>
      <c r="N76" s="159">
        <f t="shared" si="26"/>
        <v>6.2578308355123208E-2</v>
      </c>
      <c r="T76" s="159">
        <f>ABS(F76)-ABS($E76)</f>
        <v>5.2285708679322696E-7</v>
      </c>
      <c r="U76" s="159">
        <f>ABS(G76)-ABS($E76)</f>
        <v>-6.1978509204030363E-7</v>
      </c>
      <c r="V76" s="159" t="e">
        <f>ABS(#REF!)-ABS($E76)</f>
        <v>#REF!</v>
      </c>
      <c r="W76" s="159">
        <f>ABS(J76)-ABS($E76)</f>
        <v>1.3588219653637434E-7</v>
      </c>
      <c r="X76" s="159">
        <f>ABS(K76)-ABS($E76)</f>
        <v>-1.0083130096288917E-6</v>
      </c>
      <c r="Y76" s="159">
        <f>ABS(H76)-ABS($E76)</f>
        <v>6.0289467035401501E-7</v>
      </c>
      <c r="Z76" s="159">
        <f>ABS(I76)-ABS($E76)</f>
        <v>-1.3393592955684985E-6</v>
      </c>
      <c r="AA76" s="159">
        <f>ABS(L76)-ABS($E76)</f>
        <v>6.8841610940950648E-7</v>
      </c>
      <c r="AB76" s="159">
        <f>ABS(M76)-ABS($E76)</f>
        <v>4.5043773883035598E-7</v>
      </c>
      <c r="AC76" s="159" t="e">
        <f>ABS(#REF!)-ABS($E76)</f>
        <v>#REF!</v>
      </c>
      <c r="AD76" s="159" t="e">
        <f>ABS(#REF!)-ABS($E76)</f>
        <v>#REF!</v>
      </c>
      <c r="AE76" s="159">
        <f t="shared" si="17"/>
        <v>2.9023773882863591E-7</v>
      </c>
    </row>
    <row r="77" spans="2:31" x14ac:dyDescent="0.25">
      <c r="D77" s="129" t="s">
        <v>110</v>
      </c>
      <c r="E77" s="159">
        <f>SQRT(E74^2+E75^2+E76^2)</f>
        <v>1</v>
      </c>
      <c r="F77" s="159">
        <f>SQRT(F74^2+F75^2+F76^2)</f>
        <v>1</v>
      </c>
      <c r="G77" s="159">
        <f t="shared" ref="G77:N77" si="27">SQRT(G74^2+G75^2+G76^2)</f>
        <v>1</v>
      </c>
      <c r="H77" s="159">
        <f>SQRT(H74^2+H75^2+H76^2)</f>
        <v>1</v>
      </c>
      <c r="I77" s="159">
        <f>SQRT(I74^2+I75^2+I76^2)</f>
        <v>0.99999999999999978</v>
      </c>
      <c r="J77" s="159">
        <f t="shared" si="27"/>
        <v>1</v>
      </c>
      <c r="K77" s="159">
        <f t="shared" si="27"/>
        <v>0.99999999999999989</v>
      </c>
      <c r="L77" s="159">
        <f t="shared" si="27"/>
        <v>1</v>
      </c>
      <c r="M77" s="159">
        <f t="shared" si="27"/>
        <v>1</v>
      </c>
      <c r="N77" s="159">
        <f t="shared" si="27"/>
        <v>1</v>
      </c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</row>
    <row r="78" spans="2:31" x14ac:dyDescent="0.25">
      <c r="D78" s="12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</row>
    <row r="79" spans="2:31" x14ac:dyDescent="0.25">
      <c r="B79" s="129" t="s">
        <v>91</v>
      </c>
      <c r="C79" s="129"/>
      <c r="D79" s="129" t="s">
        <v>97</v>
      </c>
      <c r="E79">
        <f>SQRT((E27-C80)^2+(E28-C81)^2+(E29-C82)^2)</f>
        <v>422.63213677144802</v>
      </c>
      <c r="F79" s="49">
        <f t="shared" ref="F79:N79" si="28">SQRT(F27^2+F28^2+F29^2)</f>
        <v>7003.3081187464541</v>
      </c>
      <c r="G79" s="49">
        <f t="shared" si="28"/>
        <v>28938.810781787492</v>
      </c>
      <c r="H79" s="49">
        <f>SQRT(H27^2+H28^2+H29^2)</f>
        <v>23792.57097420327</v>
      </c>
      <c r="I79" s="49">
        <f>SQRT(I27^2+I28^2+I29^2)</f>
        <v>11658.349431034396</v>
      </c>
      <c r="J79" s="49">
        <f t="shared" si="28"/>
        <v>21950.203818919312</v>
      </c>
      <c r="K79" s="49">
        <f t="shared" si="28"/>
        <v>7060.5356151003152</v>
      </c>
      <c r="L79" s="49">
        <f t="shared" si="28"/>
        <v>16036.596803015907</v>
      </c>
      <c r="M79" s="49">
        <f t="shared" si="28"/>
        <v>6241.1874525926551</v>
      </c>
      <c r="N79" s="49">
        <f t="shared" si="28"/>
        <v>18582.426744171495</v>
      </c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</row>
    <row r="80" spans="2:31" x14ac:dyDescent="0.25">
      <c r="B80" s="129" t="s">
        <v>115</v>
      </c>
      <c r="C80" s="141">
        <v>4.3339999999999996</v>
      </c>
      <c r="D80" s="129" t="s">
        <v>107</v>
      </c>
      <c r="E80" s="159">
        <f>(E27-C80)/E$79</f>
        <v>2.7603201425046308E-2</v>
      </c>
      <c r="F80" s="159">
        <f t="shared" ref="F80:N82" si="29">F27/F$79</f>
        <v>-2.7602669584470777E-2</v>
      </c>
      <c r="G80" s="159">
        <f t="shared" si="29"/>
        <v>-2.760272376163829E-2</v>
      </c>
      <c r="H80" s="159">
        <f>H27/H$79</f>
        <v>-2.7603153972392099E-2</v>
      </c>
      <c r="I80" s="159">
        <f>I27/I$79</f>
        <v>-2.7603392907691152E-2</v>
      </c>
      <c r="J80" s="159">
        <f t="shared" si="29"/>
        <v>-2.7602932756267688E-2</v>
      </c>
      <c r="K80" s="159">
        <f t="shared" si="29"/>
        <v>-2.7602721751475934E-2</v>
      </c>
      <c r="L80" s="159">
        <f t="shared" si="29"/>
        <v>-2.7602489819832186E-2</v>
      </c>
      <c r="M80" s="159">
        <f t="shared" si="29"/>
        <v>-2.7603721456632917E-2</v>
      </c>
      <c r="N80" s="159">
        <f t="shared" si="29"/>
        <v>-2.7604037247766378E-2</v>
      </c>
      <c r="T80" s="159">
        <f>ABS(F80)-ABS($E80)</f>
        <v>-5.3184057553085085E-7</v>
      </c>
      <c r="U80" s="159">
        <f>ABS(G80)-ABS($E80)</f>
        <v>-4.776634080182196E-7</v>
      </c>
      <c r="V80" s="159" t="e">
        <f>ABS(#REF!)-ABS($E80)</f>
        <v>#REF!</v>
      </c>
      <c r="W80" s="159">
        <f>ABS(J80)-ABS($E80)</f>
        <v>-2.6866877862047334E-7</v>
      </c>
      <c r="X80" s="159">
        <f>ABS(K80)-ABS($E80)</f>
        <v>-4.7967357037423386E-7</v>
      </c>
      <c r="Y80" s="159">
        <f>ABS(H80)-ABS($E80)</f>
        <v>-4.7452654208801626E-8</v>
      </c>
      <c r="Z80" s="159">
        <f>ABS(I80)-ABS($E80)</f>
        <v>1.9148264484430966E-7</v>
      </c>
      <c r="AA80" s="159">
        <f>ABS(L80)-ABS($E80)</f>
        <v>-7.1160521412233502E-7</v>
      </c>
      <c r="AB80" s="159">
        <f>ABS(M80)-ABS($E80)</f>
        <v>5.2003158660871018E-7</v>
      </c>
      <c r="AC80" s="159" t="e">
        <f>ABS(#REF!)-ABS($E80)</f>
        <v>#REF!</v>
      </c>
      <c r="AD80" s="159" t="e">
        <f>ABS(#REF!)-ABS($E80)</f>
        <v>#REF!</v>
      </c>
      <c r="AE80" s="159">
        <f t="shared" si="17"/>
        <v>8.3582272007026726E-7</v>
      </c>
    </row>
    <row r="81" spans="2:31" x14ac:dyDescent="0.25">
      <c r="B81" s="129" t="s">
        <v>113</v>
      </c>
      <c r="C81" s="141">
        <v>-689.07399999999996</v>
      </c>
      <c r="D81" s="129" t="s">
        <v>108</v>
      </c>
      <c r="E81" s="159">
        <f>(E28-C81)/E$79</f>
        <v>0.75496861747773225</v>
      </c>
      <c r="F81" s="159">
        <f t="shared" si="29"/>
        <v>-0.75497178052854141</v>
      </c>
      <c r="G81" s="159">
        <f t="shared" si="29"/>
        <v>-0.75497228150611972</v>
      </c>
      <c r="H81" s="159">
        <f>H28/H$79</f>
        <v>-0.75498356270434608</v>
      </c>
      <c r="I81" s="159">
        <f>I28/I$79</f>
        <v>-0.75496965089843449</v>
      </c>
      <c r="J81" s="159">
        <f t="shared" si="29"/>
        <v>-0.75498160002123837</v>
      </c>
      <c r="K81" s="159">
        <f t="shared" si="29"/>
        <v>-0.75497105185613667</v>
      </c>
      <c r="L81" s="159">
        <f t="shared" si="29"/>
        <v>-0.75496067829822278</v>
      </c>
      <c r="M81" s="159">
        <f t="shared" si="29"/>
        <v>-0.75496851132754017</v>
      </c>
      <c r="N81" s="159">
        <f t="shared" si="29"/>
        <v>-0.75496059761948431</v>
      </c>
      <c r="T81" s="159">
        <f>ABS(F81)-ABS($E81)</f>
        <v>3.1630508091629039E-6</v>
      </c>
      <c r="U81" s="159">
        <f>ABS(G81)-ABS($E81)</f>
        <v>3.6640283874733726E-6</v>
      </c>
      <c r="V81" s="159" t="e">
        <f>ABS(#REF!)-ABS($E81)</f>
        <v>#REF!</v>
      </c>
      <c r="W81" s="159">
        <f>ABS(J81)-ABS($E81)</f>
        <v>1.2982543506123712E-5</v>
      </c>
      <c r="X81" s="159">
        <f>ABS(K81)-ABS($E81)</f>
        <v>2.4343784044145167E-6</v>
      </c>
      <c r="Y81" s="159">
        <f>ABS(H81)-ABS($E81)</f>
        <v>1.4945226613827245E-5</v>
      </c>
      <c r="Z81" s="159">
        <f>ABS(I81)-ABS($E81)</f>
        <v>1.0334207022344444E-6</v>
      </c>
      <c r="AA81" s="159">
        <f>ABS(L81)-ABS($E81)</f>
        <v>-7.9391795094752027E-6</v>
      </c>
      <c r="AB81" s="159">
        <f>ABS(M81)-ABS($E81)</f>
        <v>-1.0615019208071175E-7</v>
      </c>
      <c r="AC81" s="159" t="e">
        <f>ABS(#REF!)-ABS($E81)</f>
        <v>#REF!</v>
      </c>
      <c r="AD81" s="159" t="e">
        <f>ABS(#REF!)-ABS($E81)</f>
        <v>#REF!</v>
      </c>
      <c r="AE81" s="159">
        <f t="shared" si="17"/>
        <v>-8.0198582479429348E-6</v>
      </c>
    </row>
    <row r="82" spans="2:31" x14ac:dyDescent="0.25">
      <c r="B82" s="129" t="s">
        <v>114</v>
      </c>
      <c r="C82" s="141">
        <v>209.1</v>
      </c>
      <c r="D82" s="129" t="s">
        <v>109</v>
      </c>
      <c r="E82" s="159">
        <f>(E29-C82)/E$79</f>
        <v>0.65517970809148995</v>
      </c>
      <c r="F82" s="159">
        <f t="shared" si="29"/>
        <v>-0.6551760856726796</v>
      </c>
      <c r="G82" s="159">
        <f t="shared" si="29"/>
        <v>-0.65517550610380959</v>
      </c>
      <c r="H82" s="159">
        <f>H29/H$79</f>
        <v>-0.65516248819436329</v>
      </c>
      <c r="I82" s="159">
        <f>I29/I$79</f>
        <v>-0.65517850920362108</v>
      </c>
      <c r="J82" s="159">
        <f t="shared" si="29"/>
        <v>-0.65516475922673367</v>
      </c>
      <c r="K82" s="159">
        <f t="shared" si="29"/>
        <v>-0.65517692313691067</v>
      </c>
      <c r="L82" s="159">
        <f t="shared" si="29"/>
        <v>-0.65518888633678252</v>
      </c>
      <c r="M82" s="159">
        <f t="shared" si="29"/>
        <v>-0.65517980849963808</v>
      </c>
      <c r="N82" s="159">
        <f t="shared" si="29"/>
        <v>-0.65518891410772129</v>
      </c>
      <c r="T82" s="159">
        <f>ABS(F82)-ABS($E82)</f>
        <v>-3.6224188103561872E-6</v>
      </c>
      <c r="U82" s="159">
        <f>ABS(G82)-ABS($E82)</f>
        <v>-4.2019876803633949E-6</v>
      </c>
      <c r="V82" s="159" t="e">
        <f>ABS(#REF!)-ABS($E82)</f>
        <v>#REF!</v>
      </c>
      <c r="W82" s="159">
        <f>ABS(J82)-ABS($E82)</f>
        <v>-1.494886475628121E-5</v>
      </c>
      <c r="X82" s="159">
        <f>ABS(K82)-ABS($E82)</f>
        <v>-2.784954579282406E-6</v>
      </c>
      <c r="Y82" s="159">
        <f>ABS(H82)-ABS($E82)</f>
        <v>-1.7219897126663497E-5</v>
      </c>
      <c r="Z82" s="159">
        <f>ABS(I82)-ABS($E82)</f>
        <v>-1.1988878688695692E-6</v>
      </c>
      <c r="AA82" s="159">
        <f>ABS(L82)-ABS($E82)</f>
        <v>9.1782452925626146E-6</v>
      </c>
      <c r="AB82" s="159">
        <f>ABS(M82)-ABS($E82)</f>
        <v>1.0040814812928289E-7</v>
      </c>
      <c r="AC82" s="159" t="e">
        <f>ABS(#REF!)-ABS($E82)</f>
        <v>#REF!</v>
      </c>
      <c r="AD82" s="159" t="e">
        <f>ABS(#REF!)-ABS($E82)</f>
        <v>#REF!</v>
      </c>
      <c r="AE82" s="159">
        <f t="shared" si="17"/>
        <v>9.2060162313334359E-6</v>
      </c>
    </row>
    <row r="83" spans="2:31" x14ac:dyDescent="0.25">
      <c r="D83" s="129" t="s">
        <v>110</v>
      </c>
      <c r="E83" s="159">
        <f>SQRT(E80^2+E81^2+E82^2)</f>
        <v>1</v>
      </c>
      <c r="F83" s="159">
        <f>SQRT(F80^2+F81^2+F82^2)</f>
        <v>1</v>
      </c>
      <c r="G83" s="159">
        <f t="shared" ref="G83:N83" si="30">SQRT(G80^2+G81^2+G82^2)</f>
        <v>1</v>
      </c>
      <c r="H83" s="159">
        <f>SQRT(H80^2+H81^2+H82^2)</f>
        <v>1</v>
      </c>
      <c r="I83" s="159">
        <f>SQRT(I80^2+I81^2+I82^2)</f>
        <v>0.99999999999999989</v>
      </c>
      <c r="J83" s="159">
        <f t="shared" si="30"/>
        <v>1</v>
      </c>
      <c r="K83" s="159">
        <f t="shared" si="30"/>
        <v>1</v>
      </c>
      <c r="L83" s="159">
        <f t="shared" si="30"/>
        <v>1</v>
      </c>
      <c r="M83" s="159">
        <f t="shared" si="30"/>
        <v>1</v>
      </c>
      <c r="N83" s="159">
        <f t="shared" si="30"/>
        <v>1</v>
      </c>
      <c r="T83" s="159"/>
    </row>
    <row r="84" spans="2:31" x14ac:dyDescent="0.25">
      <c r="D84" s="129"/>
      <c r="E84" s="159"/>
      <c r="F84" s="159"/>
      <c r="G84" s="159"/>
      <c r="H84" s="159"/>
      <c r="I84" s="159"/>
      <c r="J84" s="159"/>
      <c r="K84" s="159"/>
      <c r="L84" s="159"/>
      <c r="M84" s="159"/>
    </row>
    <row r="85" spans="2:31" x14ac:dyDescent="0.25">
      <c r="D85" s="129"/>
      <c r="E85" s="159"/>
      <c r="F85" s="159"/>
      <c r="G85" s="159"/>
      <c r="H85" s="159"/>
      <c r="I85" s="159"/>
      <c r="J85" s="159"/>
      <c r="K85" s="159"/>
      <c r="L85" s="159"/>
      <c r="M85" s="159"/>
    </row>
    <row r="86" spans="2:31" x14ac:dyDescent="0.25">
      <c r="D86" s="129"/>
      <c r="E86" s="159"/>
      <c r="F86" s="159"/>
      <c r="G86" s="159"/>
      <c r="H86" s="159"/>
      <c r="I86" s="159"/>
      <c r="J86" s="159"/>
      <c r="K86" s="159"/>
      <c r="L86" s="159"/>
      <c r="M86" s="159"/>
    </row>
    <row r="87" spans="2:31" x14ac:dyDescent="0.25">
      <c r="D87" s="129"/>
      <c r="E87" s="159"/>
      <c r="F87" s="159"/>
      <c r="G87" s="159"/>
      <c r="H87" s="159"/>
      <c r="I87" s="159"/>
      <c r="J87" s="159"/>
      <c r="K87" s="159"/>
      <c r="L87" s="159"/>
      <c r="M87" s="159"/>
    </row>
    <row r="89" spans="2:31" x14ac:dyDescent="0.25">
      <c r="B89" s="140"/>
    </row>
  </sheetData>
  <mergeCells count="3">
    <mergeCell ref="B4:E4"/>
    <mergeCell ref="B36:E36"/>
    <mergeCell ref="B44:E44"/>
  </mergeCells>
  <conditionalFormatting sqref="T50:AE8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37:N4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5:N45">
    <cfRule type="colorScale" priority="22">
      <colorScale>
        <cfvo type="min"/>
        <cfvo type="max"/>
        <color rgb="FFFCFCFF"/>
        <color rgb="FFF8696B"/>
      </colorScale>
    </cfRule>
  </conditionalFormatting>
  <conditionalFormatting sqref="F46:N46">
    <cfRule type="colorScale" priority="2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0ACD-186A-4629-981B-D11F72A844DF}">
  <dimension ref="B2:AE89"/>
  <sheetViews>
    <sheetView topLeftCell="D19" zoomScale="90" zoomScaleNormal="90" workbookViewId="0">
      <selection activeCell="F37" sqref="F37:Q46"/>
    </sheetView>
  </sheetViews>
  <sheetFormatPr defaultRowHeight="15" x14ac:dyDescent="0.25"/>
  <cols>
    <col min="1" max="1" width="3.7109375" customWidth="1"/>
    <col min="3" max="3" width="11.85546875" customWidth="1"/>
    <col min="6" max="14" width="15.7109375" customWidth="1"/>
    <col min="16" max="16" width="9.28515625" bestFit="1" customWidth="1"/>
    <col min="17" max="17" width="9.5703125" bestFit="1" customWidth="1"/>
    <col min="19" max="19" width="26.5703125" bestFit="1" customWidth="1"/>
  </cols>
  <sheetData>
    <row r="2" spans="2:20" x14ac:dyDescent="0.25">
      <c r="B2" s="129" t="s">
        <v>70</v>
      </c>
      <c r="C2" s="130" t="s">
        <v>116</v>
      </c>
      <c r="F2" s="129" t="s">
        <v>72</v>
      </c>
      <c r="G2" s="95" t="s">
        <v>117</v>
      </c>
    </row>
    <row r="4" spans="2:20" ht="15.75" x14ac:dyDescent="0.25">
      <c r="B4" s="131" t="s">
        <v>74</v>
      </c>
      <c r="C4" s="131"/>
      <c r="D4" s="131"/>
      <c r="E4" s="131"/>
    </row>
    <row r="5" spans="2:20" s="132" customFormat="1" ht="30" customHeight="1" x14ac:dyDescent="0.25">
      <c r="E5" s="133" t="s">
        <v>75</v>
      </c>
      <c r="F5" s="134" t="s">
        <v>23</v>
      </c>
      <c r="G5" s="134" t="s">
        <v>24</v>
      </c>
      <c r="H5" s="134" t="s">
        <v>120</v>
      </c>
      <c r="I5" s="134" t="s">
        <v>121</v>
      </c>
      <c r="J5" s="134" t="s">
        <v>76</v>
      </c>
      <c r="K5" s="134" t="s">
        <v>77</v>
      </c>
      <c r="L5" s="134" t="s">
        <v>78</v>
      </c>
      <c r="M5" s="134" t="s">
        <v>79</v>
      </c>
      <c r="N5" s="134" t="s">
        <v>31</v>
      </c>
      <c r="P5" s="135" t="s">
        <v>17</v>
      </c>
      <c r="Q5" s="135" t="s">
        <v>18</v>
      </c>
    </row>
    <row r="6" spans="2:20" x14ac:dyDescent="0.25">
      <c r="B6" s="56" t="s">
        <v>80</v>
      </c>
      <c r="C6" s="136" t="s">
        <v>81</v>
      </c>
      <c r="D6" s="136" t="s">
        <v>82</v>
      </c>
      <c r="E6" s="137">
        <v>2725</v>
      </c>
      <c r="F6" s="138">
        <v>-18532</v>
      </c>
      <c r="G6" s="138">
        <v>-20113</v>
      </c>
      <c r="H6" s="138">
        <v>-14567</v>
      </c>
      <c r="I6" s="138">
        <v>-17416</v>
      </c>
      <c r="J6" s="138">
        <v>-7482.6</v>
      </c>
      <c r="K6" s="138">
        <v>-12521</v>
      </c>
      <c r="L6" s="138">
        <v>-16965</v>
      </c>
      <c r="M6" s="138">
        <v>-20280</v>
      </c>
      <c r="N6" s="138">
        <v>-11463</v>
      </c>
      <c r="O6" s="139"/>
      <c r="P6" s="139">
        <f>MIN(F6:N6)</f>
        <v>-20280</v>
      </c>
      <c r="Q6" s="55">
        <f>MAX(F6:N6)</f>
        <v>-7482.6</v>
      </c>
      <c r="S6" s="140"/>
      <c r="T6" s="95"/>
    </row>
    <row r="7" spans="2:20" x14ac:dyDescent="0.25">
      <c r="B7" s="94" t="s">
        <v>80</v>
      </c>
      <c r="C7" s="129" t="s">
        <v>81</v>
      </c>
      <c r="D7" s="129" t="s">
        <v>83</v>
      </c>
      <c r="E7" s="141">
        <v>-198</v>
      </c>
      <c r="F7" s="142">
        <v>24168</v>
      </c>
      <c r="G7" s="142">
        <v>26230</v>
      </c>
      <c r="H7" s="142">
        <v>18997</v>
      </c>
      <c r="I7" s="142">
        <v>-22712</v>
      </c>
      <c r="J7" s="142">
        <v>9758</v>
      </c>
      <c r="K7" s="142">
        <v>-16329</v>
      </c>
      <c r="L7" s="142">
        <v>22124</v>
      </c>
      <c r="M7" s="142">
        <v>-26447</v>
      </c>
      <c r="N7" s="142">
        <v>14948</v>
      </c>
      <c r="P7">
        <f>MIN(F7:N7)</f>
        <v>-26447</v>
      </c>
      <c r="Q7" s="3">
        <f>MAX(F7:N7)</f>
        <v>26230</v>
      </c>
    </row>
    <row r="8" spans="2:20" x14ac:dyDescent="0.25">
      <c r="B8" s="143" t="s">
        <v>80</v>
      </c>
      <c r="C8" s="144" t="s">
        <v>81</v>
      </c>
      <c r="D8" s="144" t="s">
        <v>84</v>
      </c>
      <c r="E8" s="145">
        <v>151.70599999999999</v>
      </c>
      <c r="F8" s="146">
        <v>2091.6999999999998</v>
      </c>
      <c r="G8" s="146">
        <v>2270.1</v>
      </c>
      <c r="H8" s="146">
        <v>1644.2</v>
      </c>
      <c r="I8" s="146">
        <v>1965.7</v>
      </c>
      <c r="J8" s="146">
        <v>844.54</v>
      </c>
      <c r="K8" s="146">
        <v>1413.2</v>
      </c>
      <c r="L8" s="146">
        <v>1914.8</v>
      </c>
      <c r="M8" s="146">
        <v>2289</v>
      </c>
      <c r="N8" s="146">
        <v>1293.7</v>
      </c>
      <c r="O8" s="5"/>
      <c r="P8" s="5">
        <f>MIN(F8:N8)</f>
        <v>844.54</v>
      </c>
      <c r="Q8" s="6">
        <f>MAX(F8:N8)</f>
        <v>2289</v>
      </c>
    </row>
    <row r="9" spans="2:20" x14ac:dyDescent="0.25">
      <c r="B9" s="56" t="s">
        <v>80</v>
      </c>
      <c r="C9" s="136" t="s">
        <v>85</v>
      </c>
      <c r="D9" s="136" t="s">
        <v>82</v>
      </c>
      <c r="E9" s="137">
        <v>3212.5</v>
      </c>
      <c r="F9" s="138">
        <v>-1251.9000000000001</v>
      </c>
      <c r="G9" s="138">
        <v>10587</v>
      </c>
      <c r="H9" s="138">
        <v>-1588.8</v>
      </c>
      <c r="I9" s="138">
        <v>4556</v>
      </c>
      <c r="J9" s="138">
        <v>-1661.2</v>
      </c>
      <c r="K9" s="138">
        <v>5472.9</v>
      </c>
      <c r="L9" s="138">
        <v>-3294.7</v>
      </c>
      <c r="M9" s="138">
        <v>1399</v>
      </c>
      <c r="N9" s="138">
        <v>7959.4</v>
      </c>
      <c r="O9" s="139"/>
      <c r="P9" s="139">
        <f>MIN(F9:N9)</f>
        <v>-3294.7</v>
      </c>
      <c r="Q9" s="55">
        <f>MAX(F9:N9)</f>
        <v>10587</v>
      </c>
    </row>
    <row r="10" spans="2:20" x14ac:dyDescent="0.25">
      <c r="B10" s="94" t="s">
        <v>80</v>
      </c>
      <c r="C10" s="129" t="s">
        <v>85</v>
      </c>
      <c r="D10" s="129" t="s">
        <v>83</v>
      </c>
      <c r="E10" s="141">
        <v>-132.88</v>
      </c>
      <c r="F10" s="142">
        <v>-6160.7</v>
      </c>
      <c r="G10" s="142">
        <v>52098</v>
      </c>
      <c r="H10" s="142">
        <v>-7818.2</v>
      </c>
      <c r="I10" s="142">
        <v>-22419</v>
      </c>
      <c r="J10" s="142">
        <v>-8174.5</v>
      </c>
      <c r="K10" s="142">
        <v>-26932</v>
      </c>
      <c r="L10" s="142">
        <v>-16213</v>
      </c>
      <c r="M10" s="142">
        <v>-6884.5</v>
      </c>
      <c r="N10" s="142">
        <v>39167</v>
      </c>
      <c r="P10">
        <f>MIN(F10:N10)</f>
        <v>-26932</v>
      </c>
      <c r="Q10" s="3">
        <f>MAX(F10:N10)</f>
        <v>52098</v>
      </c>
    </row>
    <row r="11" spans="2:20" x14ac:dyDescent="0.25">
      <c r="B11" s="143" t="s">
        <v>80</v>
      </c>
      <c r="C11" s="144" t="s">
        <v>85</v>
      </c>
      <c r="D11" s="144" t="s">
        <v>84</v>
      </c>
      <c r="E11" s="145">
        <v>124.346</v>
      </c>
      <c r="F11" s="146">
        <v>-166.29</v>
      </c>
      <c r="G11" s="146">
        <v>1406.3</v>
      </c>
      <c r="H11" s="146">
        <v>-211.03</v>
      </c>
      <c r="I11" s="146">
        <v>605.16</v>
      </c>
      <c r="J11" s="146">
        <v>-220.65</v>
      </c>
      <c r="K11" s="146">
        <v>726.96</v>
      </c>
      <c r="L11" s="146">
        <v>-437.63</v>
      </c>
      <c r="M11" s="146">
        <v>185.83</v>
      </c>
      <c r="N11" s="146">
        <v>1057.2</v>
      </c>
      <c r="O11" s="5"/>
      <c r="P11" s="5">
        <f>MIN(F11:N11)</f>
        <v>-437.63</v>
      </c>
      <c r="Q11" s="6">
        <f>MAX(F11:N11)</f>
        <v>1406.3</v>
      </c>
    </row>
    <row r="12" spans="2:20" x14ac:dyDescent="0.25">
      <c r="B12" s="56" t="s">
        <v>80</v>
      </c>
      <c r="C12" s="136" t="s">
        <v>86</v>
      </c>
      <c r="D12" s="136" t="s">
        <v>82</v>
      </c>
      <c r="E12" s="137">
        <v>3084.9389999999999</v>
      </c>
      <c r="F12" s="147">
        <f>(F6+F9)</f>
        <v>-19783.900000000001</v>
      </c>
      <c r="G12" s="147">
        <f t="shared" ref="G12:N12" si="0">(G6+G9)</f>
        <v>-9526</v>
      </c>
      <c r="H12" s="147">
        <f t="shared" si="0"/>
        <v>-16155.8</v>
      </c>
      <c r="I12" s="147">
        <f t="shared" si="0"/>
        <v>-12860</v>
      </c>
      <c r="J12" s="147">
        <f t="shared" si="0"/>
        <v>-9143.8000000000011</v>
      </c>
      <c r="K12" s="147">
        <f t="shared" si="0"/>
        <v>-7048.1</v>
      </c>
      <c r="L12" s="147">
        <f t="shared" si="0"/>
        <v>-20259.7</v>
      </c>
      <c r="M12" s="147">
        <f t="shared" si="0"/>
        <v>-18881</v>
      </c>
      <c r="N12" s="147">
        <f t="shared" si="0"/>
        <v>-3503.6000000000004</v>
      </c>
      <c r="O12" s="139"/>
      <c r="P12" s="139">
        <f>MIN(F12:N12)</f>
        <v>-20259.7</v>
      </c>
      <c r="Q12" s="55">
        <f>MAX(F12:N12)</f>
        <v>-3503.6000000000004</v>
      </c>
      <c r="S12" s="148" t="s">
        <v>87</v>
      </c>
    </row>
    <row r="13" spans="2:20" x14ac:dyDescent="0.25">
      <c r="B13" s="94" t="s">
        <v>80</v>
      </c>
      <c r="C13" s="129" t="s">
        <v>86</v>
      </c>
      <c r="D13" s="129" t="s">
        <v>83</v>
      </c>
      <c r="E13" s="141">
        <v>-686.91800000000001</v>
      </c>
      <c r="F13" s="147">
        <f t="shared" ref="F13:N14" si="1">(F7+F10)</f>
        <v>18007.3</v>
      </c>
      <c r="G13" s="147">
        <f t="shared" si="1"/>
        <v>78328</v>
      </c>
      <c r="H13" s="147">
        <f t="shared" si="1"/>
        <v>11178.8</v>
      </c>
      <c r="I13" s="147">
        <f t="shared" si="1"/>
        <v>-45131</v>
      </c>
      <c r="J13" s="147">
        <f t="shared" si="1"/>
        <v>1583.5</v>
      </c>
      <c r="K13" s="147">
        <f t="shared" si="1"/>
        <v>-43261</v>
      </c>
      <c r="L13" s="147">
        <f t="shared" si="1"/>
        <v>5911</v>
      </c>
      <c r="M13" s="147">
        <f t="shared" si="1"/>
        <v>-33331.5</v>
      </c>
      <c r="N13" s="147">
        <f t="shared" si="1"/>
        <v>54115</v>
      </c>
      <c r="P13">
        <f>MIN(F13:N13)</f>
        <v>-45131</v>
      </c>
      <c r="Q13" s="3">
        <f>MAX(F13:N13)</f>
        <v>78328</v>
      </c>
    </row>
    <row r="14" spans="2:20" x14ac:dyDescent="0.25">
      <c r="B14" s="143" t="s">
        <v>80</v>
      </c>
      <c r="C14" s="144" t="s">
        <v>86</v>
      </c>
      <c r="D14" s="144" t="s">
        <v>84</v>
      </c>
      <c r="E14" s="145">
        <v>110.31</v>
      </c>
      <c r="F14" s="147">
        <f t="shared" si="1"/>
        <v>1925.4099999999999</v>
      </c>
      <c r="G14" s="147">
        <f t="shared" si="1"/>
        <v>3676.3999999999996</v>
      </c>
      <c r="H14" s="147">
        <f t="shared" si="1"/>
        <v>1433.17</v>
      </c>
      <c r="I14" s="147">
        <f t="shared" si="1"/>
        <v>2570.86</v>
      </c>
      <c r="J14" s="147">
        <f t="shared" si="1"/>
        <v>623.89</v>
      </c>
      <c r="K14" s="147">
        <f t="shared" si="1"/>
        <v>2140.16</v>
      </c>
      <c r="L14" s="147">
        <f t="shared" si="1"/>
        <v>1477.17</v>
      </c>
      <c r="M14" s="147">
        <f t="shared" si="1"/>
        <v>2474.83</v>
      </c>
      <c r="N14" s="147">
        <f t="shared" si="1"/>
        <v>2350.9</v>
      </c>
      <c r="O14" s="5"/>
      <c r="P14" s="5">
        <f>MIN(F14:N14)</f>
        <v>623.89</v>
      </c>
      <c r="Q14" s="6">
        <f>MAX(F14:N14)</f>
        <v>3676.3999999999996</v>
      </c>
    </row>
    <row r="15" spans="2:20" x14ac:dyDescent="0.25">
      <c r="B15" s="56" t="s">
        <v>88</v>
      </c>
      <c r="C15" s="136" t="s">
        <v>81</v>
      </c>
      <c r="D15" s="136" t="s">
        <v>82</v>
      </c>
      <c r="E15" s="137">
        <v>2648</v>
      </c>
      <c r="F15" s="138">
        <v>10808</v>
      </c>
      <c r="G15" s="138">
        <v>3740.9</v>
      </c>
      <c r="H15" s="138">
        <v>10691</v>
      </c>
      <c r="I15" s="138">
        <v>4858.2</v>
      </c>
      <c r="J15" s="138">
        <v>6985</v>
      </c>
      <c r="K15" s="138">
        <v>1515.5</v>
      </c>
      <c r="L15" s="138">
        <v>12732</v>
      </c>
      <c r="M15" s="138">
        <v>9133.7999999999993</v>
      </c>
      <c r="N15" s="138">
        <v>11126</v>
      </c>
      <c r="O15" s="139"/>
      <c r="P15" s="139">
        <f>MIN(F15:N15)</f>
        <v>1515.5</v>
      </c>
      <c r="Q15" s="55">
        <f>MAX(F15:N15)</f>
        <v>12732</v>
      </c>
    </row>
    <row r="16" spans="2:20" x14ac:dyDescent="0.25">
      <c r="B16" s="94" t="s">
        <v>88</v>
      </c>
      <c r="C16" s="129" t="s">
        <v>81</v>
      </c>
      <c r="D16" s="129" t="s">
        <v>83</v>
      </c>
      <c r="E16" s="141">
        <v>-310</v>
      </c>
      <c r="F16" s="142">
        <v>-8542.7000000000007</v>
      </c>
      <c r="G16" s="142">
        <v>-2956.9</v>
      </c>
      <c r="H16" s="142">
        <v>-8450.4</v>
      </c>
      <c r="I16" s="142">
        <v>3840.1</v>
      </c>
      <c r="J16" s="142">
        <v>-5521.2</v>
      </c>
      <c r="K16" s="142">
        <v>1197.9000000000001</v>
      </c>
      <c r="L16" s="142">
        <v>-10064</v>
      </c>
      <c r="M16" s="142">
        <v>7219.8</v>
      </c>
      <c r="N16" s="142">
        <v>-8794.2000000000007</v>
      </c>
      <c r="P16">
        <f>MIN(F16:N16)</f>
        <v>-10064</v>
      </c>
      <c r="Q16" s="3">
        <f>MAX(F16:N16)</f>
        <v>7219.8</v>
      </c>
    </row>
    <row r="17" spans="2:17" x14ac:dyDescent="0.25">
      <c r="B17" s="143" t="s">
        <v>88</v>
      </c>
      <c r="C17" s="144" t="s">
        <v>81</v>
      </c>
      <c r="D17" s="144" t="s">
        <v>84</v>
      </c>
      <c r="E17" s="145">
        <v>289.077</v>
      </c>
      <c r="F17" s="146">
        <v>337.88</v>
      </c>
      <c r="G17" s="146">
        <v>116.95</v>
      </c>
      <c r="H17" s="146">
        <v>334.23</v>
      </c>
      <c r="I17" s="146">
        <v>151.88</v>
      </c>
      <c r="J17" s="146">
        <v>218.37</v>
      </c>
      <c r="K17" s="146">
        <v>47.378</v>
      </c>
      <c r="L17" s="146">
        <v>398.05</v>
      </c>
      <c r="M17" s="146">
        <v>285.55</v>
      </c>
      <c r="N17" s="146">
        <v>347.82</v>
      </c>
      <c r="O17" s="5"/>
      <c r="P17" s="5">
        <f>MIN(F17:N17)</f>
        <v>47.378</v>
      </c>
      <c r="Q17" s="6">
        <f>MAX(F17:N17)</f>
        <v>398.05</v>
      </c>
    </row>
    <row r="18" spans="2:17" x14ac:dyDescent="0.25">
      <c r="B18" s="56" t="s">
        <v>88</v>
      </c>
      <c r="C18" s="136" t="s">
        <v>85</v>
      </c>
      <c r="D18" s="136" t="s">
        <v>82</v>
      </c>
      <c r="E18" s="137">
        <v>3005.1</v>
      </c>
      <c r="F18" s="138">
        <v>-612.41999999999996</v>
      </c>
      <c r="G18" s="138">
        <v>4134.6000000000004</v>
      </c>
      <c r="H18" s="138">
        <v>-1568.3</v>
      </c>
      <c r="I18" s="138">
        <v>1976.5</v>
      </c>
      <c r="J18" s="138">
        <v>-1537.8</v>
      </c>
      <c r="K18" s="138">
        <v>2372.5</v>
      </c>
      <c r="L18" s="138">
        <v>-1943.3</v>
      </c>
      <c r="M18" s="138">
        <v>629.42999999999995</v>
      </c>
      <c r="N18" s="138">
        <v>2745.4</v>
      </c>
      <c r="O18" s="139"/>
      <c r="P18" s="139">
        <f>MIN(F18:N18)</f>
        <v>-1943.3</v>
      </c>
      <c r="Q18" s="55">
        <f>MAX(F18:N18)</f>
        <v>4134.6000000000004</v>
      </c>
    </row>
    <row r="19" spans="2:17" x14ac:dyDescent="0.25">
      <c r="B19" s="94" t="s">
        <v>88</v>
      </c>
      <c r="C19" s="129" t="s">
        <v>85</v>
      </c>
      <c r="D19" s="129" t="s">
        <v>83</v>
      </c>
      <c r="E19" s="141">
        <v>-198.62899999999999</v>
      </c>
      <c r="F19" s="142">
        <v>4198.6000000000004</v>
      </c>
      <c r="G19" s="142">
        <v>-28346</v>
      </c>
      <c r="H19" s="142">
        <v>10752</v>
      </c>
      <c r="I19" s="142">
        <v>13551</v>
      </c>
      <c r="J19" s="142">
        <v>10543</v>
      </c>
      <c r="K19" s="142">
        <v>16265</v>
      </c>
      <c r="L19" s="142">
        <v>13322</v>
      </c>
      <c r="M19" s="142">
        <v>4315.2</v>
      </c>
      <c r="N19" s="142">
        <v>-18822</v>
      </c>
      <c r="P19">
        <f>MIN(F19:N19)</f>
        <v>-28346</v>
      </c>
      <c r="Q19" s="3">
        <f>MAX(F19:N19)</f>
        <v>16265</v>
      </c>
    </row>
    <row r="20" spans="2:17" x14ac:dyDescent="0.25">
      <c r="B20" s="143" t="s">
        <v>88</v>
      </c>
      <c r="C20" s="144" t="s">
        <v>85</v>
      </c>
      <c r="D20" s="144" t="s">
        <v>84</v>
      </c>
      <c r="E20" s="145">
        <v>279.72500000000002</v>
      </c>
      <c r="F20" s="146">
        <v>-212.74</v>
      </c>
      <c r="G20" s="146">
        <v>1436.3</v>
      </c>
      <c r="H20" s="146">
        <v>-544.80999999999995</v>
      </c>
      <c r="I20" s="146">
        <v>686.61</v>
      </c>
      <c r="J20" s="146">
        <v>-534.21</v>
      </c>
      <c r="K20" s="146">
        <v>824.15</v>
      </c>
      <c r="L20" s="146">
        <v>-675.05</v>
      </c>
      <c r="M20" s="146">
        <v>218.65</v>
      </c>
      <c r="N20" s="146">
        <v>953.71</v>
      </c>
      <c r="O20" s="5"/>
      <c r="P20" s="5">
        <f>MIN(F20:N20)</f>
        <v>-675.05</v>
      </c>
      <c r="Q20" s="6">
        <f>MAX(F20:N20)</f>
        <v>1436.3</v>
      </c>
    </row>
    <row r="21" spans="2:17" x14ac:dyDescent="0.25">
      <c r="B21" s="56" t="s">
        <v>88</v>
      </c>
      <c r="C21" s="136" t="s">
        <v>86</v>
      </c>
      <c r="D21" s="136" t="s">
        <v>82</v>
      </c>
      <c r="E21" s="137">
        <v>3070</v>
      </c>
      <c r="F21" s="147">
        <f>(F15+F18)</f>
        <v>10195.58</v>
      </c>
      <c r="G21" s="147">
        <f t="shared" ref="G21:N21" si="2">(G15+G18)</f>
        <v>7875.5</v>
      </c>
      <c r="H21" s="147">
        <f t="shared" si="2"/>
        <v>9122.7000000000007</v>
      </c>
      <c r="I21" s="147">
        <f t="shared" si="2"/>
        <v>6834.7</v>
      </c>
      <c r="J21" s="147">
        <f t="shared" si="2"/>
        <v>5447.2</v>
      </c>
      <c r="K21" s="147">
        <f t="shared" si="2"/>
        <v>3888</v>
      </c>
      <c r="L21" s="147">
        <f t="shared" si="2"/>
        <v>10788.7</v>
      </c>
      <c r="M21" s="147">
        <f t="shared" si="2"/>
        <v>9763.23</v>
      </c>
      <c r="N21" s="147">
        <f t="shared" si="2"/>
        <v>13871.4</v>
      </c>
      <c r="O21" s="139"/>
      <c r="P21" s="139">
        <f>MIN(F21:N21)</f>
        <v>3888</v>
      </c>
      <c r="Q21" s="55">
        <f>MAX(F21:N21)</f>
        <v>13871.4</v>
      </c>
    </row>
    <row r="22" spans="2:17" x14ac:dyDescent="0.25">
      <c r="B22" s="94" t="s">
        <v>88</v>
      </c>
      <c r="C22" s="129" t="s">
        <v>86</v>
      </c>
      <c r="D22" s="129" t="s">
        <v>83</v>
      </c>
      <c r="E22" s="141">
        <v>-643.56600000000003</v>
      </c>
      <c r="F22" s="147">
        <f t="shared" ref="F22:N23" si="3">(F16+F19)</f>
        <v>-4344.1000000000004</v>
      </c>
      <c r="G22" s="147">
        <f t="shared" si="3"/>
        <v>-31302.9</v>
      </c>
      <c r="H22" s="147">
        <f t="shared" si="3"/>
        <v>2301.6000000000004</v>
      </c>
      <c r="I22" s="147">
        <f t="shared" si="3"/>
        <v>17391.099999999999</v>
      </c>
      <c r="J22" s="147">
        <f t="shared" si="3"/>
        <v>5021.8</v>
      </c>
      <c r="K22" s="147">
        <f t="shared" si="3"/>
        <v>17462.900000000001</v>
      </c>
      <c r="L22" s="147">
        <f t="shared" si="3"/>
        <v>3258</v>
      </c>
      <c r="M22" s="147">
        <f t="shared" si="3"/>
        <v>11535</v>
      </c>
      <c r="N22" s="147">
        <f t="shared" si="3"/>
        <v>-27616.2</v>
      </c>
      <c r="P22">
        <f>MIN(F22:N22)</f>
        <v>-31302.9</v>
      </c>
      <c r="Q22" s="3">
        <f>MAX(F22:N22)</f>
        <v>17462.900000000001</v>
      </c>
    </row>
    <row r="23" spans="2:17" x14ac:dyDescent="0.25">
      <c r="B23" s="143" t="s">
        <v>88</v>
      </c>
      <c r="C23" s="189" t="s">
        <v>86</v>
      </c>
      <c r="D23" s="144" t="s">
        <v>84</v>
      </c>
      <c r="E23" s="145">
        <v>302.27</v>
      </c>
      <c r="F23" s="147">
        <f t="shared" si="3"/>
        <v>125.13999999999999</v>
      </c>
      <c r="G23" s="147">
        <f t="shared" si="3"/>
        <v>1553.25</v>
      </c>
      <c r="H23" s="147">
        <f t="shared" si="3"/>
        <v>-210.57999999999993</v>
      </c>
      <c r="I23" s="147">
        <f t="shared" si="3"/>
        <v>838.49</v>
      </c>
      <c r="J23" s="147">
        <f t="shared" si="3"/>
        <v>-315.84000000000003</v>
      </c>
      <c r="K23" s="147">
        <f t="shared" si="3"/>
        <v>871.52800000000002</v>
      </c>
      <c r="L23" s="147">
        <f t="shared" si="3"/>
        <v>-276.99999999999994</v>
      </c>
      <c r="M23" s="147">
        <f t="shared" si="3"/>
        <v>504.20000000000005</v>
      </c>
      <c r="N23" s="147">
        <f t="shared" si="3"/>
        <v>1301.53</v>
      </c>
      <c r="O23" s="5"/>
      <c r="P23" s="5">
        <f>MIN(F23:N23)</f>
        <v>-315.84000000000003</v>
      </c>
      <c r="Q23" s="6">
        <f>MAX(F23:N23)</f>
        <v>1553.25</v>
      </c>
    </row>
    <row r="24" spans="2:17" x14ac:dyDescent="0.25">
      <c r="B24" s="56" t="s">
        <v>89</v>
      </c>
      <c r="C24" s="136" t="s">
        <v>90</v>
      </c>
      <c r="D24" s="136" t="s">
        <v>82</v>
      </c>
      <c r="E24" s="137">
        <v>3267.5</v>
      </c>
      <c r="F24" s="138">
        <v>233.09</v>
      </c>
      <c r="G24" s="138">
        <v>116.32</v>
      </c>
      <c r="H24" s="138">
        <v>296.27999999999997</v>
      </c>
      <c r="I24" s="138">
        <v>170.88</v>
      </c>
      <c r="J24" s="138">
        <v>206.3</v>
      </c>
      <c r="K24" s="138">
        <v>107.93</v>
      </c>
      <c r="L24" s="138">
        <v>287.69</v>
      </c>
      <c r="M24" s="138">
        <v>222.98</v>
      </c>
      <c r="N24" s="138">
        <v>-400</v>
      </c>
      <c r="O24" s="139"/>
      <c r="P24" s="139">
        <f>MIN(F24:N24)</f>
        <v>-400</v>
      </c>
      <c r="Q24" s="55">
        <f>MAX(F24:N24)</f>
        <v>296.27999999999997</v>
      </c>
    </row>
    <row r="25" spans="2:17" x14ac:dyDescent="0.25">
      <c r="B25" s="94" t="s">
        <v>89</v>
      </c>
      <c r="C25" s="189" t="s">
        <v>90</v>
      </c>
      <c r="D25" s="129" t="s">
        <v>83</v>
      </c>
      <c r="E25" s="141">
        <v>-136</v>
      </c>
      <c r="F25" s="142">
        <v>-3395</v>
      </c>
      <c r="G25" s="142">
        <v>-1694.3</v>
      </c>
      <c r="H25" s="142">
        <v>-4315.5</v>
      </c>
      <c r="I25" s="142">
        <v>2488.9</v>
      </c>
      <c r="J25" s="142">
        <v>-3004.8</v>
      </c>
      <c r="K25" s="142">
        <v>1572</v>
      </c>
      <c r="L25" s="142">
        <v>-4190.3999999999996</v>
      </c>
      <c r="M25" s="142">
        <v>3247.8</v>
      </c>
      <c r="N25" s="142">
        <v>5826.2</v>
      </c>
      <c r="P25">
        <f>MIN(F25:N25)</f>
        <v>-4315.5</v>
      </c>
      <c r="Q25" s="3">
        <f>MAX(F25:N25)</f>
        <v>5826.2</v>
      </c>
    </row>
    <row r="26" spans="2:17" x14ac:dyDescent="0.25">
      <c r="B26" s="143" t="s">
        <v>89</v>
      </c>
      <c r="C26" s="189" t="s">
        <v>90</v>
      </c>
      <c r="D26" s="144" t="s">
        <v>84</v>
      </c>
      <c r="E26" s="145">
        <v>238</v>
      </c>
      <c r="F26" s="146">
        <v>83.424000000000007</v>
      </c>
      <c r="G26" s="146">
        <v>41.631999999999998</v>
      </c>
      <c r="H26" s="146">
        <v>106.04</v>
      </c>
      <c r="I26" s="146">
        <v>61.158000000000001</v>
      </c>
      <c r="J26" s="146">
        <v>73.834999999999994</v>
      </c>
      <c r="K26" s="146">
        <v>38.628999999999998</v>
      </c>
      <c r="L26" s="146">
        <v>102.97</v>
      </c>
      <c r="M26" s="146">
        <v>79.805999999999997</v>
      </c>
      <c r="N26" s="146">
        <v>-143.16</v>
      </c>
      <c r="O26" s="5"/>
      <c r="P26" s="5">
        <f>MIN(F26:N26)</f>
        <v>-143.16</v>
      </c>
      <c r="Q26" s="6">
        <f>MAX(F26:N26)</f>
        <v>106.04</v>
      </c>
    </row>
    <row r="27" spans="2:17" x14ac:dyDescent="0.25">
      <c r="B27" s="56" t="s">
        <v>91</v>
      </c>
      <c r="C27" s="136" t="s">
        <v>92</v>
      </c>
      <c r="D27" s="136" t="s">
        <v>82</v>
      </c>
      <c r="E27" s="137">
        <v>3054.7530000000002</v>
      </c>
      <c r="F27" s="138">
        <v>876.06</v>
      </c>
      <c r="G27" s="138">
        <v>3867.6</v>
      </c>
      <c r="H27" s="138">
        <v>2586.4</v>
      </c>
      <c r="I27" s="138">
        <v>1703.4</v>
      </c>
      <c r="J27" s="138">
        <v>2065.4</v>
      </c>
      <c r="K27" s="138">
        <v>1627.3</v>
      </c>
      <c r="L27" s="138">
        <v>1509.2</v>
      </c>
      <c r="M27" s="138">
        <v>1221.0999999999999</v>
      </c>
      <c r="N27" s="138">
        <v>2758</v>
      </c>
      <c r="O27" s="139"/>
      <c r="P27" s="139">
        <f>MIN(F27:N27)</f>
        <v>876.06</v>
      </c>
      <c r="Q27" s="55">
        <f>MAX(F27:N27)</f>
        <v>3867.6</v>
      </c>
    </row>
    <row r="28" spans="2:17" x14ac:dyDescent="0.25">
      <c r="B28" s="94" t="s">
        <v>91</v>
      </c>
      <c r="C28" s="189" t="s">
        <v>92</v>
      </c>
      <c r="D28" s="129" t="s">
        <v>83</v>
      </c>
      <c r="E28" s="141">
        <v>-161.72200000000001</v>
      </c>
      <c r="F28" s="142">
        <v>-10268</v>
      </c>
      <c r="G28" s="142">
        <v>-45331</v>
      </c>
      <c r="H28" s="142">
        <v>-30314</v>
      </c>
      <c r="I28" s="142">
        <v>19965</v>
      </c>
      <c r="J28" s="142">
        <v>-24207</v>
      </c>
      <c r="K28" s="142">
        <v>19073</v>
      </c>
      <c r="L28" s="142">
        <v>-17689</v>
      </c>
      <c r="M28" s="142">
        <v>14312</v>
      </c>
      <c r="N28" s="142">
        <v>-32326</v>
      </c>
      <c r="P28">
        <f>MIN(F28:N28)</f>
        <v>-45331</v>
      </c>
      <c r="Q28" s="3">
        <f>MAX(F28:N28)</f>
        <v>19965</v>
      </c>
    </row>
    <row r="29" spans="2:17" x14ac:dyDescent="0.25">
      <c r="B29" s="143" t="s">
        <v>91</v>
      </c>
      <c r="C29" s="144" t="s">
        <v>92</v>
      </c>
      <c r="D29" s="144" t="s">
        <v>84</v>
      </c>
      <c r="E29" s="145">
        <v>359.46100000000001</v>
      </c>
      <c r="F29" s="146">
        <v>-6440.9</v>
      </c>
      <c r="G29" s="146">
        <v>-28435</v>
      </c>
      <c r="H29" s="146">
        <v>-19016</v>
      </c>
      <c r="I29" s="146">
        <v>-12523</v>
      </c>
      <c r="J29" s="146">
        <v>-15185</v>
      </c>
      <c r="K29" s="146">
        <v>-11964</v>
      </c>
      <c r="L29" s="146">
        <v>-11096</v>
      </c>
      <c r="M29" s="146">
        <v>-8977.7999999999993</v>
      </c>
      <c r="N29" s="146">
        <v>-20277</v>
      </c>
      <c r="O29" s="5"/>
      <c r="P29" s="5">
        <f>MIN(F29:N29)</f>
        <v>-28435</v>
      </c>
      <c r="Q29" s="6">
        <f>MAX(F29:N29)</f>
        <v>-6440.9</v>
      </c>
    </row>
    <row r="31" spans="2:17" x14ac:dyDescent="0.25">
      <c r="B31" s="129" t="s">
        <v>93</v>
      </c>
      <c r="D31" s="129" t="s">
        <v>42</v>
      </c>
      <c r="F31" s="49">
        <f>F12+F21+F24+F27</f>
        <v>-8479.1700000000019</v>
      </c>
      <c r="G31" s="49">
        <f t="shared" ref="G31:N33" si="4">G12+G21+G24+G27</f>
        <v>2333.42</v>
      </c>
      <c r="H31" s="49">
        <f t="shared" si="4"/>
        <v>-4150.4199999999983</v>
      </c>
      <c r="I31" s="49">
        <f t="shared" si="4"/>
        <v>-4151.0200000000004</v>
      </c>
      <c r="J31" s="49">
        <f t="shared" si="4"/>
        <v>-1424.900000000001</v>
      </c>
      <c r="K31" s="49">
        <f t="shared" si="4"/>
        <v>-1424.8700000000006</v>
      </c>
      <c r="L31" s="49">
        <f t="shared" si="4"/>
        <v>-7674.11</v>
      </c>
      <c r="M31" s="49">
        <f t="shared" si="4"/>
        <v>-7673.6900000000005</v>
      </c>
      <c r="N31" s="49">
        <f t="shared" si="4"/>
        <v>12725.8</v>
      </c>
    </row>
    <row r="32" spans="2:17" x14ac:dyDescent="0.25">
      <c r="D32" s="129" t="s">
        <v>43</v>
      </c>
      <c r="F32" s="49">
        <f>F13+F22+F25+F28</f>
        <v>0.19999999999890861</v>
      </c>
      <c r="G32" s="49">
        <f t="shared" si="4"/>
        <v>-0.20000000000436557</v>
      </c>
      <c r="H32" s="49">
        <f t="shared" si="4"/>
        <v>-21149.1</v>
      </c>
      <c r="I32" s="49">
        <f t="shared" si="4"/>
        <v>-5286</v>
      </c>
      <c r="J32" s="49">
        <f t="shared" si="4"/>
        <v>-20606.5</v>
      </c>
      <c r="K32" s="49">
        <f t="shared" si="4"/>
        <v>-5153.0999999999985</v>
      </c>
      <c r="L32" s="49">
        <f t="shared" si="4"/>
        <v>-12710.4</v>
      </c>
      <c r="M32" s="49">
        <f t="shared" si="4"/>
        <v>-4236.7000000000007</v>
      </c>
      <c r="N32" s="49">
        <f t="shared" si="4"/>
        <v>-1</v>
      </c>
    </row>
    <row r="33" spans="2:20" x14ac:dyDescent="0.25">
      <c r="D33" s="149" t="s">
        <v>44</v>
      </c>
      <c r="E33" s="150"/>
      <c r="F33" s="49">
        <f>F14+F23+F26+F29</f>
        <v>-4306.9259999999995</v>
      </c>
      <c r="G33" s="49">
        <f t="shared" si="4"/>
        <v>-23163.718000000001</v>
      </c>
      <c r="H33" s="49">
        <f t="shared" si="4"/>
        <v>-17687.37</v>
      </c>
      <c r="I33" s="49">
        <f t="shared" si="4"/>
        <v>-9052.4920000000002</v>
      </c>
      <c r="J33" s="49">
        <f t="shared" si="4"/>
        <v>-14803.115</v>
      </c>
      <c r="K33" s="49">
        <f t="shared" si="4"/>
        <v>-8913.6830000000009</v>
      </c>
      <c r="L33" s="49">
        <f t="shared" si="4"/>
        <v>-9792.86</v>
      </c>
      <c r="M33" s="49">
        <f t="shared" si="4"/>
        <v>-5918.9639999999999</v>
      </c>
      <c r="N33" s="49">
        <f t="shared" si="4"/>
        <v>-16767.73</v>
      </c>
    </row>
    <row r="35" spans="2:20" x14ac:dyDescent="0.25">
      <c r="B35" s="140" t="s">
        <v>94</v>
      </c>
    </row>
    <row r="36" spans="2:20" ht="15.75" x14ac:dyDescent="0.25">
      <c r="B36" s="151" t="s">
        <v>95</v>
      </c>
      <c r="C36" s="151"/>
      <c r="D36" s="151"/>
      <c r="E36" s="151"/>
    </row>
    <row r="37" spans="2:20" x14ac:dyDescent="0.25">
      <c r="B37" s="56" t="s">
        <v>80</v>
      </c>
      <c r="C37" s="136" t="s">
        <v>96</v>
      </c>
      <c r="D37" s="136" t="s">
        <v>97</v>
      </c>
      <c r="E37" s="136"/>
      <c r="F37" s="138">
        <f>SQRT(F6^2+F7^2+F8^2)*SIGN(F7)</f>
        <v>30527.077437743694</v>
      </c>
      <c r="G37" s="138">
        <f t="shared" ref="G37:N37" si="5">SQRT(G6^2+G7^2+G8^2)*SIGN(G7)</f>
        <v>33131.541210906566</v>
      </c>
      <c r="H37" s="138">
        <f t="shared" si="5"/>
        <v>23995.559831768875</v>
      </c>
      <c r="I37" s="138">
        <f t="shared" si="5"/>
        <v>-28688.25502692696</v>
      </c>
      <c r="J37" s="138">
        <f t="shared" si="5"/>
        <v>12325.628364168701</v>
      </c>
      <c r="K37" s="138">
        <f t="shared" si="5"/>
        <v>-20625.440995042991</v>
      </c>
      <c r="L37" s="138">
        <f t="shared" si="5"/>
        <v>27945.465822562343</v>
      </c>
      <c r="M37" s="138">
        <f t="shared" si="5"/>
        <v>-33406.013380827113</v>
      </c>
      <c r="N37" s="138">
        <f t="shared" si="5"/>
        <v>18881.650687638514</v>
      </c>
      <c r="O37" s="139"/>
      <c r="P37" s="152">
        <f>MIN(F37:N37)</f>
        <v>-33406.013380827113</v>
      </c>
      <c r="Q37" s="153">
        <f>MAX(F37:N37)</f>
        <v>33131.541210906566</v>
      </c>
      <c r="S37" s="154" t="s">
        <v>98</v>
      </c>
    </row>
    <row r="38" spans="2:20" x14ac:dyDescent="0.25">
      <c r="B38" s="94" t="s">
        <v>80</v>
      </c>
      <c r="C38" s="129" t="s">
        <v>99</v>
      </c>
      <c r="D38" s="129" t="s">
        <v>97</v>
      </c>
      <c r="E38" s="129"/>
      <c r="F38" s="142">
        <f>SQRT(F9^2+F10^2+F11^2)*SIGN(F10)</f>
        <v>-6288.8099402112639</v>
      </c>
      <c r="G38" s="142">
        <f t="shared" ref="G38:N38" si="6">SQRT(G9^2+G10^2+G11^2)*SIGN(G10)</f>
        <v>53181.423943798269</v>
      </c>
      <c r="H38" s="142">
        <f t="shared" si="6"/>
        <v>-7980.7938415235358</v>
      </c>
      <c r="I38" s="142">
        <f t="shared" si="6"/>
        <v>-22885.255419715115</v>
      </c>
      <c r="J38" s="142">
        <f t="shared" si="6"/>
        <v>-8344.5025083883811</v>
      </c>
      <c r="K38" s="142">
        <f t="shared" si="6"/>
        <v>-27492.06666024946</v>
      </c>
      <c r="L38" s="142">
        <f t="shared" si="6"/>
        <v>-16550.164262233167</v>
      </c>
      <c r="M38" s="142">
        <f t="shared" si="6"/>
        <v>-7027.6649065603578</v>
      </c>
      <c r="N38" s="142">
        <f t="shared" si="6"/>
        <v>39981.540855749918</v>
      </c>
      <c r="P38" s="49">
        <f>MIN(F38:N38)</f>
        <v>-27492.06666024946</v>
      </c>
      <c r="Q38" s="155">
        <f>MAX(F38:N38)</f>
        <v>53181.423943798269</v>
      </c>
      <c r="S38" s="156" t="s">
        <v>100</v>
      </c>
    </row>
    <row r="39" spans="2:20" x14ac:dyDescent="0.25">
      <c r="B39" s="94" t="s">
        <v>88</v>
      </c>
      <c r="C39" s="129" t="s">
        <v>96</v>
      </c>
      <c r="D39" s="129" t="s">
        <v>97</v>
      </c>
      <c r="E39" s="129"/>
      <c r="F39" s="142">
        <f>SQRT(F15^2+F16^2+F17^2)*SIGN(F16)</f>
        <v>-13780.593245009448</v>
      </c>
      <c r="G39" s="142">
        <f t="shared" ref="G39:N39" si="7">SQRT(G15^2+G16^2+G17^2)*SIGN(G16)</f>
        <v>-4769.8288986608313</v>
      </c>
      <c r="H39" s="142">
        <f t="shared" si="7"/>
        <v>-13631.52415736773</v>
      </c>
      <c r="I39" s="142">
        <f t="shared" si="7"/>
        <v>6194.476796663299</v>
      </c>
      <c r="J39" s="142">
        <f t="shared" si="7"/>
        <v>-8906.2652047252668</v>
      </c>
      <c r="K39" s="142">
        <f t="shared" si="7"/>
        <v>1932.3429651291201</v>
      </c>
      <c r="L39" s="142">
        <f t="shared" si="7"/>
        <v>-16234.111118336599</v>
      </c>
      <c r="M39" s="142">
        <f t="shared" si="7"/>
        <v>11646.17333215078</v>
      </c>
      <c r="N39" s="142">
        <f t="shared" si="7"/>
        <v>-14186.148469278052</v>
      </c>
      <c r="P39" s="49">
        <f>MIN(F39:N39)</f>
        <v>-16234.111118336599</v>
      </c>
      <c r="Q39" s="155">
        <f>MAX(F39:N39)</f>
        <v>11646.17333215078</v>
      </c>
    </row>
    <row r="40" spans="2:20" x14ac:dyDescent="0.25">
      <c r="B40" s="94" t="s">
        <v>88</v>
      </c>
      <c r="C40" s="129" t="s">
        <v>99</v>
      </c>
      <c r="D40" s="129" t="s">
        <v>97</v>
      </c>
      <c r="E40" s="129"/>
      <c r="F40" s="142">
        <f>SQRT(F18^2+F19^2+F20^2)*SIGN(F19)</f>
        <v>4248.3595097402012</v>
      </c>
      <c r="G40" s="142">
        <f t="shared" ref="G40:N40" si="8">SQRT(G18^2+G19^2+G20^2)*SIGN(G19)</f>
        <v>-28681.938408169</v>
      </c>
      <c r="H40" s="142">
        <f t="shared" si="8"/>
        <v>10879.424930854571</v>
      </c>
      <c r="I40" s="142">
        <f t="shared" si="8"/>
        <v>13711.585850735866</v>
      </c>
      <c r="J40" s="142">
        <f t="shared" si="8"/>
        <v>10667.945358132465</v>
      </c>
      <c r="K40" s="142">
        <f t="shared" si="8"/>
        <v>16457.770337214577</v>
      </c>
      <c r="L40" s="142">
        <f t="shared" si="8"/>
        <v>13479.903241214308</v>
      </c>
      <c r="M40" s="142">
        <f t="shared" si="8"/>
        <v>4366.3418312587482</v>
      </c>
      <c r="N40" s="142">
        <f t="shared" si="8"/>
        <v>-19045.064135468278</v>
      </c>
      <c r="P40" s="49">
        <f>MIN(F40:N40)</f>
        <v>-28681.938408169</v>
      </c>
      <c r="Q40" s="155">
        <f>MAX(F40:N40)</f>
        <v>16457.770337214577</v>
      </c>
    </row>
    <row r="41" spans="2:20" x14ac:dyDescent="0.25">
      <c r="B41" s="94" t="s">
        <v>89</v>
      </c>
      <c r="C41" s="129" t="s">
        <v>101</v>
      </c>
      <c r="D41" s="129" t="s">
        <v>97</v>
      </c>
      <c r="E41" s="129"/>
      <c r="F41" s="142">
        <f>-SQRT(F24^2+F25^2+F26^2)*SIGN(F26)</f>
        <v>-3404.0146168716724</v>
      </c>
      <c r="G41" s="142">
        <f t="shared" ref="G41:N41" si="9">-SQRT(G24^2+G25^2+G26^2)*SIGN(G26)</f>
        <v>-1698.7984152994727</v>
      </c>
      <c r="H41" s="142">
        <f t="shared" si="9"/>
        <v>-4326.9581197418584</v>
      </c>
      <c r="I41" s="142">
        <f t="shared" si="9"/>
        <v>-2495.5086626505627</v>
      </c>
      <c r="J41" s="142">
        <f t="shared" si="9"/>
        <v>-3012.778507827119</v>
      </c>
      <c r="K41" s="142">
        <f t="shared" si="9"/>
        <v>-1576.1741923217116</v>
      </c>
      <c r="L41" s="142">
        <f t="shared" si="9"/>
        <v>-4201.5259748096287</v>
      </c>
      <c r="M41" s="142">
        <f t="shared" si="9"/>
        <v>-3256.4234856719727</v>
      </c>
      <c r="N41" s="142">
        <f t="shared" si="9"/>
        <v>5841.6693868790617</v>
      </c>
      <c r="P41" s="49">
        <f>MIN(F41:N41)</f>
        <v>-4326.9581197418584</v>
      </c>
      <c r="Q41" s="155">
        <f>MAX(F41:N41)</f>
        <v>5841.6693868790617</v>
      </c>
    </row>
    <row r="42" spans="2:20" x14ac:dyDescent="0.25">
      <c r="B42" s="143" t="s">
        <v>91</v>
      </c>
      <c r="C42" s="144" t="s">
        <v>102</v>
      </c>
      <c r="D42" s="144" t="s">
        <v>97</v>
      </c>
      <c r="E42" s="144"/>
      <c r="F42" s="146">
        <f>SQRT(F27^2+F28^2+F29^2)*SIGN(F29)</f>
        <v>-12152.551087471305</v>
      </c>
      <c r="G42" s="146">
        <f t="shared" ref="G42:N42" si="10">SQRT(G27^2+G28^2+G29^2)*SIGN(G29)</f>
        <v>-53650.788584698363</v>
      </c>
      <c r="H42" s="146">
        <f t="shared" si="10"/>
        <v>-35878.075714285456</v>
      </c>
      <c r="I42" s="146">
        <f t="shared" si="10"/>
        <v>-23628.972164696457</v>
      </c>
      <c r="J42" s="146">
        <f t="shared" si="10"/>
        <v>-28650.112585468141</v>
      </c>
      <c r="K42" s="146">
        <f t="shared" si="10"/>
        <v>-22573.540490804717</v>
      </c>
      <c r="L42" s="146">
        <f t="shared" si="10"/>
        <v>-20935.606550563563</v>
      </c>
      <c r="M42" s="146">
        <f t="shared" si="10"/>
        <v>-16938.870152699088</v>
      </c>
      <c r="N42" s="146">
        <f t="shared" si="10"/>
        <v>-38258.771138132492</v>
      </c>
      <c r="O42" s="5"/>
      <c r="P42" s="157">
        <f>MIN(F42:N42)</f>
        <v>-53650.788584698363</v>
      </c>
      <c r="Q42" s="158">
        <f>MAX(F42:N42)</f>
        <v>-12152.551087471305</v>
      </c>
    </row>
    <row r="44" spans="2:20" ht="15.75" x14ac:dyDescent="0.25">
      <c r="B44" s="151" t="s">
        <v>118</v>
      </c>
      <c r="C44" s="151"/>
      <c r="D44" s="151"/>
      <c r="E44" s="151"/>
    </row>
    <row r="45" spans="2:20" x14ac:dyDescent="0.25">
      <c r="B45" s="56" t="s">
        <v>80</v>
      </c>
      <c r="C45" s="136" t="s">
        <v>101</v>
      </c>
      <c r="D45" s="136" t="s">
        <v>97</v>
      </c>
      <c r="E45" s="136"/>
      <c r="F45" s="138">
        <f t="shared" ref="F45:N45" si="11">SQRT(F12^2+F13^2+F14^2)</f>
        <v>26821.125184602155</v>
      </c>
      <c r="G45" s="138">
        <f t="shared" si="11"/>
        <v>78990.734753893761</v>
      </c>
      <c r="H45" s="138">
        <f t="shared" si="11"/>
        <v>19698.46235950664</v>
      </c>
      <c r="I45" s="138">
        <f t="shared" si="11"/>
        <v>46997.8306109931</v>
      </c>
      <c r="J45" s="138">
        <f t="shared" si="11"/>
        <v>9300.8488549217927</v>
      </c>
      <c r="K45" s="138">
        <f t="shared" si="11"/>
        <v>43883.59738484984</v>
      </c>
      <c r="L45" s="138">
        <f t="shared" si="11"/>
        <v>21156.025059044056</v>
      </c>
      <c r="M45" s="138">
        <f t="shared" si="11"/>
        <v>38387.57398923381</v>
      </c>
      <c r="N45" s="138">
        <f t="shared" si="11"/>
        <v>54279.233310447562</v>
      </c>
      <c r="O45" s="139"/>
      <c r="P45" s="152">
        <f>MIN(F45:N45)</f>
        <v>9300.8488549217927</v>
      </c>
      <c r="Q45" s="153">
        <f>MAX(F45:N45)</f>
        <v>78990.734753893761</v>
      </c>
    </row>
    <row r="46" spans="2:20" x14ac:dyDescent="0.25">
      <c r="B46" s="143" t="s">
        <v>88</v>
      </c>
      <c r="C46" s="144" t="s">
        <v>101</v>
      </c>
      <c r="D46" s="144" t="s">
        <v>97</v>
      </c>
      <c r="E46" s="144"/>
      <c r="F46" s="146">
        <f t="shared" ref="F46:N46" si="12">SQRT(F21^2+F22^2+F23^2)</f>
        <v>11083.172666975825</v>
      </c>
      <c r="G46" s="146">
        <f t="shared" si="12"/>
        <v>32315.749012246335</v>
      </c>
      <c r="H46" s="146">
        <f t="shared" si="12"/>
        <v>9410.9171596821525</v>
      </c>
      <c r="I46" s="146">
        <f t="shared" si="12"/>
        <v>18704.719959948608</v>
      </c>
      <c r="J46" s="146">
        <f t="shared" si="12"/>
        <v>7415.5389544927884</v>
      </c>
      <c r="K46" s="146">
        <f t="shared" si="12"/>
        <v>17911.699569409488</v>
      </c>
      <c r="L46" s="146">
        <f t="shared" si="12"/>
        <v>11273.302120053379</v>
      </c>
      <c r="M46" s="146">
        <f t="shared" si="12"/>
        <v>15120.552326978666</v>
      </c>
      <c r="N46" s="146">
        <f t="shared" si="12"/>
        <v>30931.60553125072</v>
      </c>
      <c r="O46" s="5"/>
      <c r="P46" s="157">
        <f>MIN(F46:N46)</f>
        <v>7415.5389544927884</v>
      </c>
      <c r="Q46" s="158">
        <f>MAX(F46:N46)</f>
        <v>32315.749012246335</v>
      </c>
    </row>
    <row r="48" spans="2:20" x14ac:dyDescent="0.25">
      <c r="B48" s="140" t="s">
        <v>104</v>
      </c>
      <c r="T48" s="129" t="s">
        <v>105</v>
      </c>
    </row>
    <row r="49" spans="2:31" x14ac:dyDescent="0.25">
      <c r="B49" s="129" t="s">
        <v>80</v>
      </c>
      <c r="C49" s="129" t="s">
        <v>106</v>
      </c>
      <c r="D49" s="129" t="s">
        <v>97</v>
      </c>
      <c r="E49">
        <f>SQRT((E6-E12)^2+(E7-E13)^2+(E8-E14)^2)</f>
        <v>608.53144804603141</v>
      </c>
      <c r="F49" s="49">
        <f t="shared" ref="F49:N49" si="13">SQRT(F6^2+F7^2+F8^2)</f>
        <v>30527.077437743694</v>
      </c>
      <c r="G49" s="49">
        <f t="shared" si="13"/>
        <v>33131.541210906566</v>
      </c>
      <c r="H49" s="49">
        <f t="shared" si="13"/>
        <v>23995.559831768875</v>
      </c>
      <c r="I49" s="49">
        <f t="shared" si="13"/>
        <v>28688.25502692696</v>
      </c>
      <c r="J49" s="49">
        <f t="shared" si="13"/>
        <v>12325.628364168701</v>
      </c>
      <c r="K49" s="49">
        <f t="shared" si="13"/>
        <v>20625.440995042991</v>
      </c>
      <c r="L49" s="49">
        <f t="shared" si="13"/>
        <v>27945.465822562343</v>
      </c>
      <c r="M49" s="49">
        <f t="shared" si="13"/>
        <v>33406.013380827113</v>
      </c>
      <c r="N49" s="49">
        <f t="shared" si="13"/>
        <v>18881.650687638514</v>
      </c>
    </row>
    <row r="50" spans="2:31" x14ac:dyDescent="0.25">
      <c r="B50" s="129"/>
      <c r="C50" s="129"/>
      <c r="D50" s="129" t="s">
        <v>107</v>
      </c>
      <c r="E50" s="159">
        <f>(E6-E12)/$E$49</f>
        <v>-0.59148791924517408</v>
      </c>
      <c r="F50" s="159">
        <f t="shared" ref="F50:N52" si="14">F6/F$49</f>
        <v>-0.60706761195184133</v>
      </c>
      <c r="G50" s="159">
        <f t="shared" si="14"/>
        <v>-0.6070650282148361</v>
      </c>
      <c r="H50" s="159">
        <f t="shared" si="14"/>
        <v>-0.60707064565812086</v>
      </c>
      <c r="I50" s="159">
        <f t="shared" si="14"/>
        <v>-0.60707770422611074</v>
      </c>
      <c r="J50" s="159">
        <f t="shared" si="14"/>
        <v>-0.60707655455135601</v>
      </c>
      <c r="K50" s="159">
        <f t="shared" si="14"/>
        <v>-0.60706580785396203</v>
      </c>
      <c r="L50" s="159">
        <f t="shared" si="14"/>
        <v>-0.60707522671899639</v>
      </c>
      <c r="M50" s="159">
        <f t="shared" si="14"/>
        <v>-0.60707632990530402</v>
      </c>
      <c r="N50" s="159">
        <f t="shared" si="14"/>
        <v>-0.60709734491087819</v>
      </c>
      <c r="T50" s="159">
        <f>ABS(F50)-ABS($E50)</f>
        <v>1.5579692706667259E-2</v>
      </c>
      <c r="U50" s="159">
        <f>ABS(G50)-ABS($E50)</f>
        <v>1.5577108969662024E-2</v>
      </c>
      <c r="V50" s="159" t="e">
        <f>ABS(#REF!)-ABS($E50)</f>
        <v>#REF!</v>
      </c>
      <c r="W50" s="159">
        <f>ABS(H50)-ABS($E50)</f>
        <v>1.5582726412946779E-2</v>
      </c>
      <c r="X50" s="159">
        <f>ABS(I50)-ABS($E50)</f>
        <v>1.5589784980936661E-2</v>
      </c>
      <c r="Y50" s="159">
        <f>ABS(J50)-ABS($E50)</f>
        <v>1.558863530618193E-2</v>
      </c>
      <c r="Z50" s="159">
        <f>ABS(K50)-ABS($E50)</f>
        <v>1.5577888608787949E-2</v>
      </c>
      <c r="AA50" s="159">
        <f>ABS(L50)-ABS($E50)</f>
        <v>1.5587307473822309E-2</v>
      </c>
      <c r="AB50" s="159">
        <f>ABS(M50)-ABS($E50)</f>
        <v>1.5588410660129948E-2</v>
      </c>
      <c r="AC50" s="159">
        <f>ABS(N50)-ABS($E50)</f>
        <v>1.5609425665704113E-2</v>
      </c>
      <c r="AD50" s="159" t="e">
        <f>ABS(#REF!)-ABS($E50)</f>
        <v>#REF!</v>
      </c>
      <c r="AE50" s="159" t="e">
        <f>ABS(#REF!)-ABS($E50)</f>
        <v>#REF!</v>
      </c>
    </row>
    <row r="51" spans="2:31" x14ac:dyDescent="0.25">
      <c r="C51" s="129"/>
      <c r="D51" s="129" t="s">
        <v>108</v>
      </c>
      <c r="E51" s="159">
        <f>(E7-E13)/$E$49</f>
        <v>0.8034391674742446</v>
      </c>
      <c r="F51" s="159">
        <f t="shared" si="14"/>
        <v>0.79169059171444534</v>
      </c>
      <c r="G51" s="159">
        <f t="shared" si="14"/>
        <v>0.79169272063218576</v>
      </c>
      <c r="H51" s="159">
        <f t="shared" si="14"/>
        <v>0.79168813452099418</v>
      </c>
      <c r="I51" s="159">
        <f t="shared" si="14"/>
        <v>-0.79168286738535987</v>
      </c>
      <c r="J51" s="159">
        <f t="shared" si="14"/>
        <v>0.79168377560101177</v>
      </c>
      <c r="K51" s="159">
        <f t="shared" si="14"/>
        <v>-0.79169216328147485</v>
      </c>
      <c r="L51" s="159">
        <f t="shared" si="14"/>
        <v>0.79168478136935316</v>
      </c>
      <c r="M51" s="159">
        <f t="shared" si="14"/>
        <v>-0.79168381148942679</v>
      </c>
      <c r="N51" s="159">
        <f t="shared" si="14"/>
        <v>0.79166807220865465</v>
      </c>
      <c r="T51" s="159">
        <f>ABS(F51)-ABS($E51)</f>
        <v>-1.1748575759799262E-2</v>
      </c>
      <c r="U51" s="159">
        <f>ABS(G51)-ABS($E51)</f>
        <v>-1.1746446842058833E-2</v>
      </c>
      <c r="V51" s="159" t="e">
        <f>ABS(#REF!)-ABS($E51)</f>
        <v>#REF!</v>
      </c>
      <c r="W51" s="159">
        <f>ABS(H51)-ABS($E51)</f>
        <v>-1.1751032953250418E-2</v>
      </c>
      <c r="X51" s="159">
        <f>ABS(I51)-ABS($E51)</f>
        <v>-1.175630008888473E-2</v>
      </c>
      <c r="Y51" s="159">
        <f>ABS(J51)-ABS($E51)</f>
        <v>-1.1755391873232823E-2</v>
      </c>
      <c r="Z51" s="159">
        <f>ABS(K51)-ABS($E51)</f>
        <v>-1.174700419276975E-2</v>
      </c>
      <c r="AA51" s="159">
        <f>ABS(L51)-ABS($E51)</f>
        <v>-1.1754386104891434E-2</v>
      </c>
      <c r="AB51" s="159">
        <f>ABS(M51)-ABS($E51)</f>
        <v>-1.1755355984817806E-2</v>
      </c>
      <c r="AC51" s="159">
        <f>ABS(N51)-ABS($E51)</f>
        <v>-1.1771095265589948E-2</v>
      </c>
      <c r="AD51" s="159" t="e">
        <f>ABS(#REF!)-ABS($E51)</f>
        <v>#REF!</v>
      </c>
      <c r="AE51" s="159" t="e">
        <f>ABS(#REF!)-ABS($E51)</f>
        <v>#REF!</v>
      </c>
    </row>
    <row r="52" spans="2:31" x14ac:dyDescent="0.25">
      <c r="D52" s="129" t="s">
        <v>109</v>
      </c>
      <c r="E52" s="159">
        <f>(E8-E14)/$E$49</f>
        <v>6.8026065264039814E-2</v>
      </c>
      <c r="F52" s="159">
        <f t="shared" si="14"/>
        <v>6.8519497297629309E-2</v>
      </c>
      <c r="G52" s="159">
        <f t="shared" si="14"/>
        <v>6.8517790511137044E-2</v>
      </c>
      <c r="H52" s="159">
        <f t="shared" si="14"/>
        <v>6.852101020052738E-2</v>
      </c>
      <c r="I52" s="159">
        <f t="shared" si="14"/>
        <v>6.8519329535901813E-2</v>
      </c>
      <c r="J52" s="159">
        <f t="shared" si="14"/>
        <v>6.8519021914949629E-2</v>
      </c>
      <c r="K52" s="159">
        <f t="shared" si="14"/>
        <v>6.8517322870315409E-2</v>
      </c>
      <c r="L52" s="159">
        <f t="shared" si="14"/>
        <v>6.8519165583350097E-2</v>
      </c>
      <c r="M52" s="159">
        <f t="shared" si="14"/>
        <v>6.8520597591382681E-2</v>
      </c>
      <c r="N52" s="159">
        <f t="shared" si="14"/>
        <v>6.8516255352979435E-2</v>
      </c>
      <c r="T52" s="159">
        <f>ABS(F52)-ABS($E52)</f>
        <v>4.9343203358949428E-4</v>
      </c>
      <c r="U52" s="159">
        <f>ABS(G52)-ABS($E52)</f>
        <v>4.9172524709722998E-4</v>
      </c>
      <c r="V52" s="159" t="e">
        <f>ABS(#REF!)-ABS($E52)</f>
        <v>#REF!</v>
      </c>
      <c r="W52" s="159">
        <f>ABS(H52)-ABS($E52)</f>
        <v>4.9494493648756521E-4</v>
      </c>
      <c r="X52" s="159">
        <f>ABS(I52)-ABS($E52)</f>
        <v>4.9326427186199839E-4</v>
      </c>
      <c r="Y52" s="159">
        <f>ABS(J52)-ABS($E52)</f>
        <v>4.9295665090981489E-4</v>
      </c>
      <c r="Z52" s="159">
        <f>ABS(K52)-ABS($E52)</f>
        <v>4.9125760627559412E-4</v>
      </c>
      <c r="AA52" s="159">
        <f>ABS(L52)-ABS($E52)</f>
        <v>4.9310031931028286E-4</v>
      </c>
      <c r="AB52" s="159">
        <f>ABS(M52)-ABS($E52)</f>
        <v>4.9453232734286701E-4</v>
      </c>
      <c r="AC52" s="159">
        <f>ABS(N52)-ABS($E52)</f>
        <v>4.9019008893962102E-4</v>
      </c>
      <c r="AD52" s="159" t="e">
        <f>ABS(#REF!)-ABS($E52)</f>
        <v>#REF!</v>
      </c>
      <c r="AE52" s="159" t="e">
        <f>ABS(#REF!)-ABS($E52)</f>
        <v>#REF!</v>
      </c>
    </row>
    <row r="53" spans="2:31" x14ac:dyDescent="0.25">
      <c r="D53" s="129" t="s">
        <v>110</v>
      </c>
      <c r="E53" s="159">
        <f>SQRT(E50^2+E51^2+E52^2)</f>
        <v>1</v>
      </c>
      <c r="F53" s="159">
        <f>SQRT(F50^2+F51^2+F52^2)</f>
        <v>0.99999999999999989</v>
      </c>
      <c r="G53" s="159">
        <f t="shared" ref="G53:N53" si="15">SQRT(G50^2+G51^2+G52^2)</f>
        <v>1</v>
      </c>
      <c r="H53" s="159">
        <f t="shared" si="15"/>
        <v>1</v>
      </c>
      <c r="I53" s="159">
        <f t="shared" si="15"/>
        <v>1</v>
      </c>
      <c r="J53" s="159">
        <f t="shared" si="15"/>
        <v>1</v>
      </c>
      <c r="K53" s="159">
        <f t="shared" si="15"/>
        <v>1</v>
      </c>
      <c r="L53" s="159">
        <f t="shared" si="15"/>
        <v>1</v>
      </c>
      <c r="M53" s="159">
        <f t="shared" si="15"/>
        <v>1</v>
      </c>
      <c r="N53" s="159">
        <f t="shared" si="15"/>
        <v>1</v>
      </c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</row>
    <row r="54" spans="2:31" x14ac:dyDescent="0.25">
      <c r="D54" s="129"/>
      <c r="E54" s="159"/>
      <c r="F54" s="159"/>
      <c r="G54" s="159"/>
      <c r="H54" s="159"/>
      <c r="I54" s="159"/>
      <c r="T54" s="159"/>
      <c r="U54" s="159"/>
      <c r="V54" s="159"/>
      <c r="W54" s="159"/>
      <c r="X54" s="159"/>
      <c r="Y54" s="159"/>
      <c r="Z54" s="159"/>
      <c r="AA54" s="159"/>
      <c r="AB54" s="159"/>
      <c r="AC54" s="159"/>
      <c r="AD54" s="159"/>
      <c r="AE54" s="159"/>
    </row>
    <row r="55" spans="2:31" x14ac:dyDescent="0.25">
      <c r="B55" s="129" t="s">
        <v>80</v>
      </c>
      <c r="C55" s="129" t="s">
        <v>111</v>
      </c>
      <c r="D55" s="129" t="s">
        <v>97</v>
      </c>
      <c r="E55">
        <f>SQRT((E9-E12)^2+(E10-E13)^2+(E11-E14)^2)</f>
        <v>568.70635961012431</v>
      </c>
      <c r="F55" s="49">
        <f t="shared" ref="F55:N55" si="16">SQRT(F9^2+F10^2+F11^2)</f>
        <v>6288.8099402112639</v>
      </c>
      <c r="G55" s="49">
        <f t="shared" si="16"/>
        <v>53181.423943798269</v>
      </c>
      <c r="H55" s="49">
        <f t="shared" si="16"/>
        <v>7980.7938415235358</v>
      </c>
      <c r="I55" s="49">
        <f t="shared" si="16"/>
        <v>22885.255419715115</v>
      </c>
      <c r="J55" s="49">
        <f t="shared" si="16"/>
        <v>8344.5025083883811</v>
      </c>
      <c r="K55" s="49">
        <f t="shared" si="16"/>
        <v>27492.06666024946</v>
      </c>
      <c r="L55" s="49">
        <f t="shared" si="16"/>
        <v>16550.164262233167</v>
      </c>
      <c r="M55" s="49">
        <f t="shared" si="16"/>
        <v>7027.6649065603578</v>
      </c>
      <c r="N55" s="49">
        <f t="shared" si="16"/>
        <v>39981.540855749918</v>
      </c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</row>
    <row r="56" spans="2:31" x14ac:dyDescent="0.25">
      <c r="B56" s="129"/>
      <c r="C56" s="129"/>
      <c r="D56" s="129" t="s">
        <v>107</v>
      </c>
      <c r="E56" s="159">
        <f>(E9-E12)/$E$55</f>
        <v>0.2243002875639537</v>
      </c>
      <c r="F56" s="159">
        <f t="shared" ref="F56:N58" si="17">F9/F$55</f>
        <v>-0.19906787005840795</v>
      </c>
      <c r="G56" s="159">
        <f t="shared" si="17"/>
        <v>0.19907327060644828</v>
      </c>
      <c r="H56" s="159">
        <f t="shared" si="17"/>
        <v>-0.19907794030884246</v>
      </c>
      <c r="I56" s="159">
        <f t="shared" si="17"/>
        <v>0.19908014642804084</v>
      </c>
      <c r="J56" s="159">
        <f t="shared" si="17"/>
        <v>-0.19907717665973074</v>
      </c>
      <c r="K56" s="159">
        <f t="shared" si="17"/>
        <v>0.19907197474947266</v>
      </c>
      <c r="L56" s="159">
        <f t="shared" si="17"/>
        <v>-0.19907355285399658</v>
      </c>
      <c r="M56" s="159">
        <f t="shared" si="17"/>
        <v>0.19907039089100947</v>
      </c>
      <c r="N56" s="159">
        <f t="shared" si="17"/>
        <v>0.19907686971637373</v>
      </c>
      <c r="T56" s="159">
        <f>ABS(F56)-ABS($E56)</f>
        <v>-2.5232417505545751E-2</v>
      </c>
      <c r="U56" s="159">
        <f>ABS(G56)-ABS($E56)</f>
        <v>-2.5227016957505427E-2</v>
      </c>
      <c r="V56" s="159" t="e">
        <f>ABS(#REF!)-ABS($E56)</f>
        <v>#REF!</v>
      </c>
      <c r="W56" s="159">
        <f>ABS(H56)-ABS($E56)</f>
        <v>-2.5222347255111244E-2</v>
      </c>
      <c r="X56" s="159">
        <f>ABS(I56)-ABS($E56)</f>
        <v>-2.5220141135912866E-2</v>
      </c>
      <c r="Y56" s="159">
        <f>ABS(J56)-ABS($E56)</f>
        <v>-2.5223110904222967E-2</v>
      </c>
      <c r="Z56" s="159">
        <f>ABS(K56)-ABS($E56)</f>
        <v>-2.5228312814481041E-2</v>
      </c>
      <c r="AA56" s="159">
        <f>ABS(L56)-ABS($E56)</f>
        <v>-2.5226734709957122E-2</v>
      </c>
      <c r="AB56" s="159">
        <f>ABS(M56)-ABS($E56)</f>
        <v>-2.522989667294423E-2</v>
      </c>
      <c r="AC56" s="159">
        <f>ABS(N56)-ABS($E56)</f>
        <v>-2.5223417847579976E-2</v>
      </c>
      <c r="AD56" s="159" t="e">
        <f>ABS(#REF!)-ABS($E56)</f>
        <v>#REF!</v>
      </c>
      <c r="AE56" s="159" t="e">
        <f>ABS(#REF!)-ABS($E56)</f>
        <v>#REF!</v>
      </c>
    </row>
    <row r="57" spans="2:31" x14ac:dyDescent="0.25">
      <c r="C57" s="129"/>
      <c r="D57" s="129" t="s">
        <v>108</v>
      </c>
      <c r="E57" s="159">
        <f>(E10-E13)/$E$55</f>
        <v>0.97420749854075805</v>
      </c>
      <c r="F57" s="159">
        <f t="shared" si="17"/>
        <v>-0.97962890571837502</v>
      </c>
      <c r="G57" s="159">
        <f t="shared" si="17"/>
        <v>0.97962777482334384</v>
      </c>
      <c r="H57" s="159">
        <f t="shared" si="17"/>
        <v>-0.97962685858672716</v>
      </c>
      <c r="I57" s="159">
        <f t="shared" si="17"/>
        <v>-0.97962638339996644</v>
      </c>
      <c r="J57" s="159">
        <f t="shared" si="17"/>
        <v>-0.97962700493918187</v>
      </c>
      <c r="K57" s="159">
        <f t="shared" si="17"/>
        <v>-0.9796280626272722</v>
      </c>
      <c r="L57" s="159">
        <f t="shared" si="17"/>
        <v>-0.97962773922416202</v>
      </c>
      <c r="M57" s="159">
        <f t="shared" si="17"/>
        <v>-0.9796283817649426</v>
      </c>
      <c r="N57" s="159">
        <f t="shared" si="17"/>
        <v>0.97962707693811213</v>
      </c>
      <c r="T57" s="159">
        <f>ABS(F57)-ABS($E57)</f>
        <v>5.4214071776169659E-3</v>
      </c>
      <c r="U57" s="159">
        <f>ABS(G57)-ABS($E57)</f>
        <v>5.4202762825857898E-3</v>
      </c>
      <c r="V57" s="159" t="e">
        <f>ABS(#REF!)-ABS($E57)</f>
        <v>#REF!</v>
      </c>
      <c r="W57" s="159">
        <f>ABS(H57)-ABS($E57)</f>
        <v>5.4193600459691016E-3</v>
      </c>
      <c r="X57" s="159">
        <f>ABS(I57)-ABS($E57)</f>
        <v>5.4188848592083838E-3</v>
      </c>
      <c r="Y57" s="159">
        <f>ABS(J57)-ABS($E57)</f>
        <v>5.4195063984238123E-3</v>
      </c>
      <c r="Z57" s="159">
        <f>ABS(K57)-ABS($E57)</f>
        <v>5.4205640865141458E-3</v>
      </c>
      <c r="AA57" s="159">
        <f>ABS(L57)-ABS($E57)</f>
        <v>5.4202406834039651E-3</v>
      </c>
      <c r="AB57" s="159">
        <f>ABS(M57)-ABS($E57)</f>
        <v>5.4208832241845473E-3</v>
      </c>
      <c r="AC57" s="159">
        <f>ABS(N57)-ABS($E57)</f>
        <v>5.4195783973540745E-3</v>
      </c>
      <c r="AD57" s="159" t="e">
        <f>ABS(#REF!)-ABS($E57)</f>
        <v>#REF!</v>
      </c>
      <c r="AE57" s="159" t="e">
        <f>ABS(#REF!)-ABS($E57)</f>
        <v>#REF!</v>
      </c>
    </row>
    <row r="58" spans="2:31" x14ac:dyDescent="0.25">
      <c r="D58" s="129" t="s">
        <v>109</v>
      </c>
      <c r="E58" s="159">
        <f>(E11-E14)/$E$55</f>
        <v>2.4680575067988264E-2</v>
      </c>
      <c r="F58" s="159">
        <f t="shared" si="17"/>
        <v>-2.6442204738407742E-2</v>
      </c>
      <c r="G58" s="159">
        <f t="shared" si="17"/>
        <v>2.6443443889094944E-2</v>
      </c>
      <c r="H58" s="159">
        <f t="shared" si="17"/>
        <v>-2.6442231711590526E-2</v>
      </c>
      <c r="I58" s="159">
        <f t="shared" si="17"/>
        <v>2.6443226824493675E-2</v>
      </c>
      <c r="J58" s="159">
        <f t="shared" si="17"/>
        <v>-2.6442559011539604E-2</v>
      </c>
      <c r="K58" s="159">
        <f t="shared" si="17"/>
        <v>2.6442537368465833E-2</v>
      </c>
      <c r="L58" s="159">
        <f t="shared" si="17"/>
        <v>-2.6442637853368905E-2</v>
      </c>
      <c r="M58" s="159">
        <f t="shared" si="17"/>
        <v>2.6442638126716437E-2</v>
      </c>
      <c r="N58" s="159">
        <f t="shared" si="17"/>
        <v>2.64422025107609E-2</v>
      </c>
      <c r="T58" s="159">
        <f>ABS(F58)-ABS($E58)</f>
        <v>1.7616296704194775E-3</v>
      </c>
      <c r="U58" s="159">
        <f>ABS(G58)-ABS($E58)</f>
        <v>1.7628688211066799E-3</v>
      </c>
      <c r="V58" s="159" t="e">
        <f>ABS(#REF!)-ABS($E58)</f>
        <v>#REF!</v>
      </c>
      <c r="W58" s="159">
        <f>ABS(H58)-ABS($E58)</f>
        <v>1.7616566436022621E-3</v>
      </c>
      <c r="X58" s="159">
        <f>ABS(I58)-ABS($E58)</f>
        <v>1.7626517565054109E-3</v>
      </c>
      <c r="Y58" s="159">
        <f>ABS(J58)-ABS($E58)</f>
        <v>1.7619839435513394E-3</v>
      </c>
      <c r="Z58" s="159">
        <f>ABS(K58)-ABS($E58)</f>
        <v>1.7619623004775688E-3</v>
      </c>
      <c r="AA58" s="159">
        <f>ABS(L58)-ABS($E58)</f>
        <v>1.7620627853806407E-3</v>
      </c>
      <c r="AB58" s="159">
        <f>ABS(M58)-ABS($E58)</f>
        <v>1.7620630587281728E-3</v>
      </c>
      <c r="AC58" s="159">
        <f>ABS(N58)-ABS($E58)</f>
        <v>1.7616274427726362E-3</v>
      </c>
      <c r="AD58" s="159" t="e">
        <f>ABS(#REF!)-ABS($E58)</f>
        <v>#REF!</v>
      </c>
      <c r="AE58" s="159" t="e">
        <f>ABS(#REF!)-ABS($E58)</f>
        <v>#REF!</v>
      </c>
    </row>
    <row r="59" spans="2:31" x14ac:dyDescent="0.25">
      <c r="D59" s="129" t="s">
        <v>110</v>
      </c>
      <c r="E59" s="159">
        <f>SQRT(E56^2+E57^2+E58^2)</f>
        <v>1</v>
      </c>
      <c r="F59" s="159">
        <f>SQRT(F56^2+F57^2+F58^2)</f>
        <v>1</v>
      </c>
      <c r="G59" s="159">
        <f t="shared" ref="G59:N59" si="18">SQRT(G56^2+G57^2+G58^2)</f>
        <v>1</v>
      </c>
      <c r="H59" s="159">
        <f t="shared" si="18"/>
        <v>1</v>
      </c>
      <c r="I59" s="159">
        <f t="shared" si="18"/>
        <v>0.99999999999999989</v>
      </c>
      <c r="J59" s="159">
        <f t="shared" si="18"/>
        <v>1</v>
      </c>
      <c r="K59" s="159">
        <f t="shared" si="18"/>
        <v>1</v>
      </c>
      <c r="L59" s="159">
        <f t="shared" si="18"/>
        <v>1</v>
      </c>
      <c r="M59" s="159">
        <f t="shared" si="18"/>
        <v>1</v>
      </c>
      <c r="N59" s="159">
        <f t="shared" si="18"/>
        <v>1</v>
      </c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</row>
    <row r="60" spans="2:31" x14ac:dyDescent="0.25">
      <c r="D60" s="129"/>
      <c r="E60" s="159"/>
      <c r="F60" s="159"/>
      <c r="G60" s="159"/>
      <c r="H60" s="159"/>
      <c r="I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59"/>
    </row>
    <row r="61" spans="2:31" x14ac:dyDescent="0.25">
      <c r="B61" s="129" t="s">
        <v>88</v>
      </c>
      <c r="C61" s="129" t="s">
        <v>106</v>
      </c>
      <c r="D61" s="129" t="s">
        <v>97</v>
      </c>
      <c r="E61">
        <f>SQRT((E15-E21)^2+(E16-E22)^2+(E17-E23)^2)</f>
        <v>538.07465244610808</v>
      </c>
      <c r="F61" s="49">
        <f t="shared" ref="F61:N61" si="19">SQRT(F15^2+F16^2+F17^2)</f>
        <v>13780.593245009448</v>
      </c>
      <c r="G61" s="49">
        <f t="shared" si="19"/>
        <v>4769.8288986608313</v>
      </c>
      <c r="H61" s="49">
        <f t="shared" si="19"/>
        <v>13631.52415736773</v>
      </c>
      <c r="I61" s="49">
        <f t="shared" si="19"/>
        <v>6194.476796663299</v>
      </c>
      <c r="J61" s="49">
        <f t="shared" si="19"/>
        <v>8906.2652047252668</v>
      </c>
      <c r="K61" s="49">
        <f t="shared" si="19"/>
        <v>1932.3429651291201</v>
      </c>
      <c r="L61" s="49">
        <f t="shared" si="19"/>
        <v>16234.111118336599</v>
      </c>
      <c r="M61" s="49">
        <f t="shared" si="19"/>
        <v>11646.17333215078</v>
      </c>
      <c r="N61" s="49">
        <f t="shared" si="19"/>
        <v>14186.148469278052</v>
      </c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</row>
    <row r="62" spans="2:31" x14ac:dyDescent="0.25">
      <c r="B62" s="129"/>
      <c r="C62" s="129"/>
      <c r="D62" s="129" t="s">
        <v>107</v>
      </c>
      <c r="E62" s="159">
        <f>(E15-E21)/E$61</f>
        <v>-0.78427779134655717</v>
      </c>
      <c r="F62" s="159">
        <f t="shared" ref="F62:N64" si="20">F15/F$61</f>
        <v>0.78429134419986213</v>
      </c>
      <c r="G62" s="159">
        <f t="shared" si="20"/>
        <v>0.78428389769920015</v>
      </c>
      <c r="H62" s="159">
        <f t="shared" si="20"/>
        <v>0.78428500559283387</v>
      </c>
      <c r="I62" s="159">
        <f t="shared" si="20"/>
        <v>0.7842793119536593</v>
      </c>
      <c r="J62" s="159">
        <f t="shared" si="20"/>
        <v>0.78427936283483568</v>
      </c>
      <c r="K62" s="159">
        <f t="shared" si="20"/>
        <v>0.78428106570550404</v>
      </c>
      <c r="L62" s="159">
        <f t="shared" si="20"/>
        <v>0.78427453817407178</v>
      </c>
      <c r="M62" s="159">
        <f t="shared" si="20"/>
        <v>0.78427477760312514</v>
      </c>
      <c r="N62" s="159">
        <f t="shared" si="20"/>
        <v>0.78428616647392335</v>
      </c>
      <c r="T62" s="159">
        <f>ABS(F62)-ABS($E62)</f>
        <v>1.3552853304954482E-5</v>
      </c>
      <c r="U62" s="159">
        <f>ABS(G62)-ABS($E62)</f>
        <v>6.1063526429760984E-6</v>
      </c>
      <c r="V62" s="159" t="e">
        <f>ABS(#REF!)-ABS($E62)</f>
        <v>#REF!</v>
      </c>
      <c r="W62" s="159">
        <f>ABS(H62)-ABS($E62)</f>
        <v>7.2142462766988658E-6</v>
      </c>
      <c r="X62" s="159">
        <f>ABS(I62)-ABS($E62)</f>
        <v>1.520607102123428E-6</v>
      </c>
      <c r="Y62" s="159">
        <f>ABS(J62)-ABS($E62)</f>
        <v>1.5714882785067275E-6</v>
      </c>
      <c r="Z62" s="159">
        <f>ABS(K62)-ABS($E62)</f>
        <v>3.274358946869782E-6</v>
      </c>
      <c r="AA62" s="159">
        <f>ABS(L62)-ABS($E62)</f>
        <v>-3.2531724853956945E-6</v>
      </c>
      <c r="AB62" s="159">
        <f>ABS(M62)-ABS($E62)</f>
        <v>-3.0137434320343104E-6</v>
      </c>
      <c r="AC62" s="159">
        <f>ABS(N62)-ABS($E62)</f>
        <v>8.3751273661780701E-6</v>
      </c>
      <c r="AD62" s="159" t="e">
        <f>ABS(#REF!)-ABS($E62)</f>
        <v>#REF!</v>
      </c>
      <c r="AE62" s="159" t="e">
        <f>ABS(#REF!)-ABS($E62)</f>
        <v>#REF!</v>
      </c>
    </row>
    <row r="63" spans="2:31" x14ac:dyDescent="0.25">
      <c r="C63" s="129"/>
      <c r="D63" s="129" t="s">
        <v>108</v>
      </c>
      <c r="E63" s="159">
        <f>(E16-E22)/E$61</f>
        <v>0.61992513210498978</v>
      </c>
      <c r="F63" s="159">
        <f t="shared" si="20"/>
        <v>-0.61990800019394554</v>
      </c>
      <c r="G63" s="159">
        <f t="shared" si="20"/>
        <v>-0.61991741482177154</v>
      </c>
      <c r="H63" s="159">
        <f t="shared" si="20"/>
        <v>-0.61991600516899104</v>
      </c>
      <c r="I63" s="159">
        <f t="shared" si="20"/>
        <v>0.61992321967668007</v>
      </c>
      <c r="J63" s="159">
        <f t="shared" si="20"/>
        <v>-0.61992315219523186</v>
      </c>
      <c r="K63" s="159">
        <f t="shared" si="20"/>
        <v>0.61992100864970201</v>
      </c>
      <c r="L63" s="159">
        <f t="shared" si="20"/>
        <v>-0.61992922967199637</v>
      </c>
      <c r="M63" s="159">
        <f t="shared" si="20"/>
        <v>0.61992894954334921</v>
      </c>
      <c r="N63" s="159">
        <f t="shared" si="20"/>
        <v>-0.61991456095676589</v>
      </c>
      <c r="T63" s="159">
        <f>ABS(F63)-ABS($E63)</f>
        <v>-1.7131911044243608E-5</v>
      </c>
      <c r="U63" s="159">
        <f>ABS(G63)-ABS($E63)</f>
        <v>-7.7172832182448303E-6</v>
      </c>
      <c r="V63" s="159" t="e">
        <f>ABS(#REF!)-ABS($E63)</f>
        <v>#REF!</v>
      </c>
      <c r="W63" s="159">
        <f>ABS(H63)-ABS($E63)</f>
        <v>-9.1269359987489196E-6</v>
      </c>
      <c r="X63" s="159">
        <f>ABS(I63)-ABS($E63)</f>
        <v>-1.9124283097138317E-6</v>
      </c>
      <c r="Y63" s="159">
        <f>ABS(J63)-ABS($E63)</f>
        <v>-1.9799097579209501E-6</v>
      </c>
      <c r="Z63" s="159">
        <f>ABS(K63)-ABS($E63)</f>
        <v>-4.123455287774469E-6</v>
      </c>
      <c r="AA63" s="159">
        <f>ABS(L63)-ABS($E63)</f>
        <v>4.0975670065890313E-6</v>
      </c>
      <c r="AB63" s="159">
        <f>ABS(M63)-ABS($E63)</f>
        <v>3.8174383594213879E-6</v>
      </c>
      <c r="AC63" s="159">
        <f>ABS(N63)-ABS($E63)</f>
        <v>-1.0571148223892379E-5</v>
      </c>
      <c r="AD63" s="159" t="e">
        <f>ABS(#REF!)-ABS($E63)</f>
        <v>#REF!</v>
      </c>
      <c r="AE63" s="159" t="e">
        <f>ABS(#REF!)-ABS($E63)</f>
        <v>#REF!</v>
      </c>
    </row>
    <row r="64" spans="2:31" x14ac:dyDescent="0.25">
      <c r="D64" s="129" t="s">
        <v>109</v>
      </c>
      <c r="E64" s="159">
        <f>(E17-E23)/E$61</f>
        <v>-2.4518902609561886E-2</v>
      </c>
      <c r="F64" s="159">
        <f t="shared" si="20"/>
        <v>2.4518538062384292E-2</v>
      </c>
      <c r="G64" s="159">
        <f t="shared" si="20"/>
        <v>2.4518699199636843E-2</v>
      </c>
      <c r="H64" s="159">
        <f t="shared" si="20"/>
        <v>2.4518901638695433E-2</v>
      </c>
      <c r="I64" s="159">
        <f t="shared" si="20"/>
        <v>2.4518616339286523E-2</v>
      </c>
      <c r="J64" s="159">
        <f t="shared" si="20"/>
        <v>2.4518694983857277E-2</v>
      </c>
      <c r="K64" s="159">
        <f t="shared" si="20"/>
        <v>2.4518421861428816E-2</v>
      </c>
      <c r="L64" s="159">
        <f t="shared" si="20"/>
        <v>2.4519359088924698E-2</v>
      </c>
      <c r="M64" s="159">
        <f t="shared" si="20"/>
        <v>2.4518783282376711E-2</v>
      </c>
      <c r="N64" s="159">
        <f t="shared" si="20"/>
        <v>2.4518282799115589E-2</v>
      </c>
      <c r="T64" s="159">
        <f>ABS(F64)-ABS($E64)</f>
        <v>-3.6454717759412669E-7</v>
      </c>
      <c r="U64" s="159">
        <f>ABS(G64)-ABS($E64)</f>
        <v>-2.034099250425303E-7</v>
      </c>
      <c r="V64" s="159" t="e">
        <f>ABS(#REF!)-ABS($E64)</f>
        <v>#REF!</v>
      </c>
      <c r="W64" s="159">
        <f>ABS(H64)-ABS($E64)</f>
        <v>-9.7086645320376697E-10</v>
      </c>
      <c r="X64" s="159">
        <f>ABS(I64)-ABS($E64)</f>
        <v>-2.8627027536323735E-7</v>
      </c>
      <c r="Y64" s="159">
        <f>ABS(J64)-ABS($E64)</f>
        <v>-2.0762570460824969E-7</v>
      </c>
      <c r="Z64" s="159">
        <f>ABS(K64)-ABS($E64)</f>
        <v>-4.8074813307000253E-7</v>
      </c>
      <c r="AA64" s="159">
        <f>ABS(L64)-ABS($E64)</f>
        <v>4.5647936281270618E-7</v>
      </c>
      <c r="AB64" s="159">
        <f>ABS(M64)-ABS($E64)</f>
        <v>-1.1932718517460028E-7</v>
      </c>
      <c r="AC64" s="159">
        <f>ABS(N64)-ABS($E64)</f>
        <v>-6.1981044629719206E-7</v>
      </c>
      <c r="AD64" s="159" t="e">
        <f>ABS(#REF!)-ABS($E64)</f>
        <v>#REF!</v>
      </c>
      <c r="AE64" s="159" t="e">
        <f>ABS(#REF!)-ABS($E64)</f>
        <v>#REF!</v>
      </c>
    </row>
    <row r="65" spans="2:31" x14ac:dyDescent="0.25">
      <c r="D65" s="129" t="s">
        <v>110</v>
      </c>
      <c r="E65" s="159">
        <f>SQRT(E62^2+E63^2+E64^2)</f>
        <v>1</v>
      </c>
      <c r="F65" s="159">
        <f>SQRT(F62^2+F63^2+F64^2)</f>
        <v>1</v>
      </c>
      <c r="G65" s="159">
        <f t="shared" ref="G65:N65" si="21">SQRT(G62^2+G63^2+G64^2)</f>
        <v>1</v>
      </c>
      <c r="H65" s="159">
        <f t="shared" si="21"/>
        <v>1</v>
      </c>
      <c r="I65" s="159">
        <f t="shared" si="21"/>
        <v>0.99999999999999989</v>
      </c>
      <c r="J65" s="159">
        <f t="shared" si="21"/>
        <v>1</v>
      </c>
      <c r="K65" s="159">
        <f t="shared" si="21"/>
        <v>1</v>
      </c>
      <c r="L65" s="159">
        <f t="shared" si="21"/>
        <v>1</v>
      </c>
      <c r="M65" s="159">
        <f t="shared" si="21"/>
        <v>1</v>
      </c>
      <c r="N65" s="159">
        <f t="shared" si="21"/>
        <v>0.99999999999999989</v>
      </c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</row>
    <row r="66" spans="2:31" x14ac:dyDescent="0.25">
      <c r="D66" s="129"/>
      <c r="E66" s="159"/>
      <c r="F66" s="159"/>
      <c r="G66" s="159"/>
      <c r="H66" s="159"/>
      <c r="I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</row>
    <row r="67" spans="2:31" x14ac:dyDescent="0.25">
      <c r="B67" s="129" t="s">
        <v>88</v>
      </c>
      <c r="C67" s="129" t="s">
        <v>111</v>
      </c>
      <c r="D67" s="129" t="s">
        <v>97</v>
      </c>
      <c r="E67">
        <f>SQRT((E18-E21)^2+(E19-E22)^2+(E20-E23)^2)</f>
        <v>450.21019645716598</v>
      </c>
      <c r="F67" s="49">
        <f t="shared" ref="F67:N67" si="22">SQRT(F18^2+F19^2+F20^2)</f>
        <v>4248.3595097402012</v>
      </c>
      <c r="G67" s="49">
        <f t="shared" si="22"/>
        <v>28681.938408169</v>
      </c>
      <c r="H67" s="49">
        <f t="shared" si="22"/>
        <v>10879.424930854571</v>
      </c>
      <c r="I67" s="49">
        <f t="shared" si="22"/>
        <v>13711.585850735866</v>
      </c>
      <c r="J67" s="49">
        <f t="shared" si="22"/>
        <v>10667.945358132465</v>
      </c>
      <c r="K67" s="49">
        <f t="shared" si="22"/>
        <v>16457.770337214577</v>
      </c>
      <c r="L67" s="49">
        <f t="shared" si="22"/>
        <v>13479.903241214308</v>
      </c>
      <c r="M67" s="49">
        <f t="shared" si="22"/>
        <v>4366.3418312587482</v>
      </c>
      <c r="N67" s="49">
        <f t="shared" si="22"/>
        <v>19045.064135468278</v>
      </c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</row>
    <row r="68" spans="2:31" x14ac:dyDescent="0.25">
      <c r="B68" s="129"/>
      <c r="C68" s="129"/>
      <c r="D68" s="129" t="s">
        <v>107</v>
      </c>
      <c r="E68" s="159">
        <f>(E18-E21)/E$67</f>
        <v>-0.14415488700770646</v>
      </c>
      <c r="F68" s="159">
        <f t="shared" ref="F68:N70" si="23">F18/F$67</f>
        <v>-0.14415446682323058</v>
      </c>
      <c r="G68" s="159">
        <f t="shared" si="23"/>
        <v>0.14415343695258792</v>
      </c>
      <c r="H68" s="159">
        <f t="shared" si="23"/>
        <v>-0.14415283987595942</v>
      </c>
      <c r="I68" s="159">
        <f t="shared" si="23"/>
        <v>0.14414816940331715</v>
      </c>
      <c r="J68" s="159">
        <f t="shared" si="23"/>
        <v>-0.14415146950745236</v>
      </c>
      <c r="K68" s="159">
        <f t="shared" si="23"/>
        <v>0.14415682995862839</v>
      </c>
      <c r="L68" s="159">
        <f t="shared" si="23"/>
        <v>-0.14416275586151328</v>
      </c>
      <c r="M68" s="159">
        <f t="shared" si="23"/>
        <v>0.14415499846894606</v>
      </c>
      <c r="N68" s="159">
        <f t="shared" si="23"/>
        <v>0.14415283563614509</v>
      </c>
      <c r="T68" s="159">
        <f>ABS(F68)-ABS($E68)</f>
        <v>-4.2018447587999219E-7</v>
      </c>
      <c r="U68" s="159">
        <f>ABS(G68)-ABS($E68)</f>
        <v>-1.4500551185347987E-6</v>
      </c>
      <c r="V68" s="159" t="e">
        <f>ABS(#REF!)-ABS($E68)</f>
        <v>#REF!</v>
      </c>
      <c r="W68" s="159">
        <f>ABS(H68)-ABS($E68)</f>
        <v>-2.0471317470349693E-6</v>
      </c>
      <c r="X68" s="159">
        <f>ABS(I68)-ABS($E68)</f>
        <v>-6.717604389305798E-6</v>
      </c>
      <c r="Y68" s="159">
        <f>ABS(J68)-ABS($E68)</f>
        <v>-3.4175002540937083E-6</v>
      </c>
      <c r="Z68" s="159">
        <f>ABS(K68)-ABS($E68)</f>
        <v>1.9429509219293095E-6</v>
      </c>
      <c r="AA68" s="159">
        <f>ABS(L68)-ABS($E68)</f>
        <v>7.8688538068250047E-6</v>
      </c>
      <c r="AB68" s="159">
        <f>ABS(M68)-ABS($E68)</f>
        <v>1.1146123959915322E-7</v>
      </c>
      <c r="AC68" s="159">
        <f>ABS(N68)-ABS($E68)</f>
        <v>-2.0513715613679206E-6</v>
      </c>
      <c r="AD68" s="159" t="e">
        <f>ABS(#REF!)-ABS($E68)</f>
        <v>#REF!</v>
      </c>
      <c r="AE68" s="159" t="e">
        <f>ABS(#REF!)-ABS($E68)</f>
        <v>#REF!</v>
      </c>
    </row>
    <row r="69" spans="2:31" x14ac:dyDescent="0.25">
      <c r="C69" s="129"/>
      <c r="D69" s="129" t="s">
        <v>108</v>
      </c>
      <c r="E69" s="159">
        <f>(E19-E22)/E$67</f>
        <v>0.9882872567110601</v>
      </c>
      <c r="F69" s="159">
        <f t="shared" si="23"/>
        <v>0.98828735900854969</v>
      </c>
      <c r="G69" s="159">
        <f t="shared" si="23"/>
        <v>-0.98828745800272266</v>
      </c>
      <c r="H69" s="159">
        <f t="shared" si="23"/>
        <v>0.98828753066780317</v>
      </c>
      <c r="I69" s="159">
        <f t="shared" si="23"/>
        <v>0.98828830942795376</v>
      </c>
      <c r="J69" s="159">
        <f t="shared" si="23"/>
        <v>0.98828777670507884</v>
      </c>
      <c r="K69" s="159">
        <f t="shared" si="23"/>
        <v>0.98828697124429532</v>
      </c>
      <c r="L69" s="159">
        <f t="shared" si="23"/>
        <v>0.98828602561986312</v>
      </c>
      <c r="M69" s="159">
        <f t="shared" si="23"/>
        <v>0.98828725893776281</v>
      </c>
      <c r="N69" s="159">
        <f t="shared" si="23"/>
        <v>-0.98828756186476385</v>
      </c>
      <c r="T69" s="159">
        <f>ABS(F69)-ABS($E69)</f>
        <v>1.0229748959034168E-7</v>
      </c>
      <c r="U69" s="159">
        <f>ABS(G69)-ABS($E69)</f>
        <v>2.0129166256044329E-7</v>
      </c>
      <c r="V69" s="159" t="e">
        <f>ABS(#REF!)-ABS($E69)</f>
        <v>#REF!</v>
      </c>
      <c r="W69" s="159">
        <f>ABS(H69)-ABS($E69)</f>
        <v>2.739567430687373E-7</v>
      </c>
      <c r="X69" s="159">
        <f>ABS(I69)-ABS($E69)</f>
        <v>1.0527168936569353E-6</v>
      </c>
      <c r="Y69" s="159">
        <f>ABS(J69)-ABS($E69)</f>
        <v>5.199940187328167E-7</v>
      </c>
      <c r="Z69" s="159">
        <f>ABS(K69)-ABS($E69)</f>
        <v>-2.8546676478224953E-7</v>
      </c>
      <c r="AA69" s="159">
        <f>ABS(L69)-ABS($E69)</f>
        <v>-1.2310911969848348E-6</v>
      </c>
      <c r="AB69" s="159">
        <f>ABS(M69)-ABS($E69)</f>
        <v>2.2267027111055882E-9</v>
      </c>
      <c r="AC69" s="159">
        <f>ABS(N69)-ABS($E69)</f>
        <v>3.051537037501717E-7</v>
      </c>
      <c r="AD69" s="159" t="e">
        <f>ABS(#REF!)-ABS($E69)</f>
        <v>#REF!</v>
      </c>
      <c r="AE69" s="159" t="e">
        <f>ABS(#REF!)-ABS($E69)</f>
        <v>#REF!</v>
      </c>
    </row>
    <row r="70" spans="2:31" x14ac:dyDescent="0.25">
      <c r="D70" s="129" t="s">
        <v>109</v>
      </c>
      <c r="E70" s="159">
        <f>(E20-E23)/E$67</f>
        <v>-5.0076609053755494E-2</v>
      </c>
      <c r="F70" s="159">
        <f t="shared" si="23"/>
        <v>-5.0075799732167595E-2</v>
      </c>
      <c r="G70" s="159">
        <f t="shared" si="23"/>
        <v>5.0076810693900749E-2</v>
      </c>
      <c r="H70" s="159">
        <f t="shared" si="23"/>
        <v>-5.0077095385335363E-2</v>
      </c>
      <c r="I70" s="159">
        <f t="shared" si="23"/>
        <v>5.0075170550979806E-2</v>
      </c>
      <c r="J70" s="159">
        <f t="shared" si="23"/>
        <v>-5.0076184500959894E-2</v>
      </c>
      <c r="K70" s="159">
        <f t="shared" si="23"/>
        <v>5.0076649698800248E-2</v>
      </c>
      <c r="L70" s="159">
        <f t="shared" si="23"/>
        <v>-5.0078252634340834E-2</v>
      </c>
      <c r="M70" s="159">
        <f t="shared" si="23"/>
        <v>5.0076244245166351E-2</v>
      </c>
      <c r="N70" s="159">
        <f t="shared" si="23"/>
        <v>5.0076491904475821E-2</v>
      </c>
      <c r="T70" s="159">
        <f>ABS(F70)-ABS($E70)</f>
        <v>-8.0932158789959185E-7</v>
      </c>
      <c r="U70" s="159">
        <f>ABS(G70)-ABS($E70)</f>
        <v>2.0164014525453355E-7</v>
      </c>
      <c r="V70" s="159" t="e">
        <f>ABS(#REF!)-ABS($E70)</f>
        <v>#REF!</v>
      </c>
      <c r="W70" s="159">
        <f>ABS(H70)-ABS($E70)</f>
        <v>4.863315798686596E-7</v>
      </c>
      <c r="X70" s="159">
        <f>ABS(I70)-ABS($E70)</f>
        <v>-1.4385027756885771E-6</v>
      </c>
      <c r="Y70" s="159">
        <f>ABS(J70)-ABS($E70)</f>
        <v>-4.2455279559983072E-7</v>
      </c>
      <c r="Z70" s="159">
        <f>ABS(K70)-ABS($E70)</f>
        <v>4.0645044753484516E-8</v>
      </c>
      <c r="AA70" s="159">
        <f>ABS(L70)-ABS($E70)</f>
        <v>1.6435805853393104E-6</v>
      </c>
      <c r="AB70" s="159">
        <f>ABS(M70)-ABS($E70)</f>
        <v>-3.6480858914278436E-7</v>
      </c>
      <c r="AC70" s="159">
        <f>ABS(N70)-ABS($E70)</f>
        <v>-1.1714927967282351E-7</v>
      </c>
      <c r="AD70" s="159" t="e">
        <f>ABS(#REF!)-ABS($E70)</f>
        <v>#REF!</v>
      </c>
      <c r="AE70" s="159" t="e">
        <f>ABS(#REF!)-ABS($E70)</f>
        <v>#REF!</v>
      </c>
    </row>
    <row r="71" spans="2:31" x14ac:dyDescent="0.25">
      <c r="D71" s="129" t="s">
        <v>110</v>
      </c>
      <c r="E71" s="159">
        <f>SQRT(E68^2+E69^2+E70^2)</f>
        <v>1</v>
      </c>
      <c r="F71" s="159">
        <f>SQRT(F68^2+F69^2+F70^2)</f>
        <v>1</v>
      </c>
      <c r="G71" s="159">
        <f t="shared" ref="G71:N71" si="24">SQRT(G68^2+G69^2+G70^2)</f>
        <v>0.99999999999999989</v>
      </c>
      <c r="H71" s="159">
        <f t="shared" si="24"/>
        <v>1</v>
      </c>
      <c r="I71" s="159">
        <f t="shared" si="24"/>
        <v>1</v>
      </c>
      <c r="J71" s="159">
        <f t="shared" si="24"/>
        <v>1</v>
      </c>
      <c r="K71" s="159">
        <f t="shared" si="24"/>
        <v>1</v>
      </c>
      <c r="L71" s="159">
        <f t="shared" si="24"/>
        <v>1</v>
      </c>
      <c r="M71" s="159">
        <f t="shared" si="24"/>
        <v>1</v>
      </c>
      <c r="N71" s="159">
        <f t="shared" si="24"/>
        <v>1</v>
      </c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59"/>
    </row>
    <row r="72" spans="2:31" x14ac:dyDescent="0.25">
      <c r="D72" s="129"/>
      <c r="E72" s="159"/>
      <c r="F72" s="159"/>
      <c r="G72" s="159"/>
      <c r="H72" s="159"/>
      <c r="I72" s="159"/>
      <c r="T72" s="159"/>
      <c r="U72" s="159"/>
      <c r="V72" s="159"/>
      <c r="W72" s="159"/>
      <c r="X72" s="159"/>
      <c r="Y72" s="159"/>
      <c r="Z72" s="159"/>
      <c r="AA72" s="159"/>
      <c r="AB72" s="159"/>
      <c r="AC72" s="159"/>
      <c r="AD72" s="159"/>
      <c r="AE72" s="159"/>
    </row>
    <row r="73" spans="2:31" x14ac:dyDescent="0.25">
      <c r="B73" s="129" t="s">
        <v>89</v>
      </c>
      <c r="C73" s="129"/>
      <c r="D73" s="129" t="s">
        <v>97</v>
      </c>
      <c r="E73">
        <f>SQRT((E24-C74)^2+(E25-C75)^2+(E26-C76)^2)</f>
        <v>474.63489579675877</v>
      </c>
      <c r="F73" s="49">
        <f t="shared" ref="F73:N73" si="25">SQRT(F24^2+F25^2+F26^2)</f>
        <v>3404.0146168716724</v>
      </c>
      <c r="G73" s="49">
        <f t="shared" si="25"/>
        <v>1698.7984152994727</v>
      </c>
      <c r="H73" s="49">
        <f t="shared" si="25"/>
        <v>4326.9581197418584</v>
      </c>
      <c r="I73" s="49">
        <f t="shared" si="25"/>
        <v>2495.5086626505627</v>
      </c>
      <c r="J73" s="49">
        <f t="shared" si="25"/>
        <v>3012.778507827119</v>
      </c>
      <c r="K73" s="49">
        <f t="shared" si="25"/>
        <v>1576.1741923217116</v>
      </c>
      <c r="L73" s="49">
        <f t="shared" si="25"/>
        <v>4201.5259748096287</v>
      </c>
      <c r="M73" s="49">
        <f t="shared" si="25"/>
        <v>3256.4234856719727</v>
      </c>
      <c r="N73" s="49">
        <f t="shared" si="25"/>
        <v>5841.6693868790617</v>
      </c>
      <c r="T73" s="159"/>
      <c r="U73" s="159"/>
      <c r="V73" s="159"/>
      <c r="W73" s="159"/>
      <c r="X73" s="159"/>
      <c r="Y73" s="159"/>
      <c r="Z73" s="159"/>
      <c r="AA73" s="159"/>
      <c r="AB73" s="159"/>
      <c r="AC73" s="159"/>
      <c r="AD73" s="159"/>
      <c r="AE73" s="159"/>
    </row>
    <row r="74" spans="2:31" x14ac:dyDescent="0.25">
      <c r="B74" s="129" t="s">
        <v>112</v>
      </c>
      <c r="C74" s="141">
        <v>3300</v>
      </c>
      <c r="D74" s="129" t="s">
        <v>107</v>
      </c>
      <c r="E74" s="159">
        <f>(E24-C74)/E$73</f>
        <v>-6.8473684273557239E-2</v>
      </c>
      <c r="F74" s="159">
        <f t="shared" ref="F74:N76" si="26">F24/F$73</f>
        <v>6.8475029115536615E-2</v>
      </c>
      <c r="G74" s="159">
        <f t="shared" si="26"/>
        <v>6.8471926364196967E-2</v>
      </c>
      <c r="H74" s="159">
        <f t="shared" si="26"/>
        <v>6.8473045451541301E-2</v>
      </c>
      <c r="I74" s="159">
        <f t="shared" si="26"/>
        <v>6.8475017761910978E-2</v>
      </c>
      <c r="J74" s="159">
        <f t="shared" si="26"/>
        <v>6.8474997237280483E-2</v>
      </c>
      <c r="K74" s="159">
        <f t="shared" si="26"/>
        <v>6.8475934021618917E-2</v>
      </c>
      <c r="L74" s="159">
        <f t="shared" si="26"/>
        <v>6.8472741029057954E-2</v>
      </c>
      <c r="M74" s="159">
        <f t="shared" si="26"/>
        <v>6.8473895051149161E-2</v>
      </c>
      <c r="N74" s="159">
        <f t="shared" si="26"/>
        <v>-6.847357724462079E-2</v>
      </c>
      <c r="T74" s="159">
        <f>ABS(F74)-ABS($E74)</f>
        <v>1.3448419793754551E-6</v>
      </c>
      <c r="U74" s="159">
        <f>ABS(G74)-ABS($E74)</f>
        <v>-1.757909360272647E-6</v>
      </c>
      <c r="V74" s="159" t="e">
        <f>ABS(#REF!)-ABS($E74)</f>
        <v>#REF!</v>
      </c>
      <c r="W74" s="159">
        <f>ABS(H74)-ABS($E74)</f>
        <v>-6.3882201593867816E-7</v>
      </c>
      <c r="X74" s="159">
        <f>ABS(I74)-ABS($E74)</f>
        <v>1.3334883537385878E-6</v>
      </c>
      <c r="Y74" s="159">
        <f>ABS(J74)-ABS($E74)</f>
        <v>1.3129637232434099E-6</v>
      </c>
      <c r="Z74" s="159">
        <f>ABS(K74)-ABS($E74)</f>
        <v>2.2497480616778809E-6</v>
      </c>
      <c r="AA74" s="159">
        <f>ABS(L74)-ABS($E74)</f>
        <v>-9.4324449928517851E-7</v>
      </c>
      <c r="AB74" s="159">
        <f>ABS(M74)-ABS($E74)</f>
        <v>2.1077759192189571E-7</v>
      </c>
      <c r="AC74" s="159">
        <f>ABS(N74)-ABS($E74)</f>
        <v>-1.0702893644964906E-7</v>
      </c>
      <c r="AD74" s="159" t="e">
        <f>ABS(#REF!)-ABS($E74)</f>
        <v>#REF!</v>
      </c>
      <c r="AE74" s="159" t="e">
        <f>ABS(#REF!)-ABS($E74)</f>
        <v>#REF!</v>
      </c>
    </row>
    <row r="75" spans="2:31" x14ac:dyDescent="0.25">
      <c r="B75" s="129" t="s">
        <v>113</v>
      </c>
      <c r="C75" s="141">
        <v>-609.37800000000004</v>
      </c>
      <c r="D75" s="129" t="s">
        <v>108</v>
      </c>
      <c r="E75" s="159">
        <f>(E25-C75)/E$73</f>
        <v>0.99735186812455323</v>
      </c>
      <c r="F75" s="159">
        <f t="shared" si="26"/>
        <v>-0.99735176904735001</v>
      </c>
      <c r="G75" s="159">
        <f t="shared" si="26"/>
        <v>-0.99735200170958493</v>
      </c>
      <c r="H75" s="159">
        <f t="shared" si="26"/>
        <v>-0.99735192266142336</v>
      </c>
      <c r="I75" s="159">
        <f t="shared" si="26"/>
        <v>0.99735177731519342</v>
      </c>
      <c r="J75" s="159">
        <f t="shared" si="26"/>
        <v>-0.99735177750160164</v>
      </c>
      <c r="K75" s="159">
        <f t="shared" si="26"/>
        <v>0.99735169352344044</v>
      </c>
      <c r="L75" s="159">
        <f t="shared" si="26"/>
        <v>-0.99735192049832966</v>
      </c>
      <c r="M75" s="159">
        <f t="shared" si="26"/>
        <v>0.99735185374079405</v>
      </c>
      <c r="N75" s="159">
        <f t="shared" si="26"/>
        <v>0.99735188935652408</v>
      </c>
      <c r="T75" s="159">
        <f>ABS(F75)-ABS($E75)</f>
        <v>-9.9077203219444243E-8</v>
      </c>
      <c r="U75" s="159">
        <f>ABS(G75)-ABS($E75)</f>
        <v>1.3358503170302072E-7</v>
      </c>
      <c r="V75" s="159" t="e">
        <f>ABS(#REF!)-ABS($E75)</f>
        <v>#REF!</v>
      </c>
      <c r="W75" s="159">
        <f>ABS(H75)-ABS($E75)</f>
        <v>5.4536870131016713E-8</v>
      </c>
      <c r="X75" s="159">
        <f>ABS(I75)-ABS($E75)</f>
        <v>-9.0809359809540524E-8</v>
      </c>
      <c r="Y75" s="159">
        <f>ABS(J75)-ABS($E75)</f>
        <v>-9.0622951587349121E-8</v>
      </c>
      <c r="Z75" s="159">
        <f>ABS(K75)-ABS($E75)</f>
        <v>-1.7460111279010704E-7</v>
      </c>
      <c r="AA75" s="159">
        <f>ABS(L75)-ABS($E75)</f>
        <v>5.2373776426861696E-8</v>
      </c>
      <c r="AB75" s="159">
        <f>ABS(M75)-ABS($E75)</f>
        <v>-1.4383759183722589E-8</v>
      </c>
      <c r="AC75" s="159">
        <f>ABS(N75)-ABS($E75)</f>
        <v>2.1231970848134551E-8</v>
      </c>
      <c r="AD75" s="159" t="e">
        <f>ABS(#REF!)-ABS($E75)</f>
        <v>#REF!</v>
      </c>
      <c r="AE75" s="159" t="e">
        <f>ABS(#REF!)-ABS($E75)</f>
        <v>#REF!</v>
      </c>
    </row>
    <row r="76" spans="2:31" x14ac:dyDescent="0.25">
      <c r="B76" s="129" t="s">
        <v>114</v>
      </c>
      <c r="C76" s="141">
        <v>249.63200000000001</v>
      </c>
      <c r="D76" s="129" t="s">
        <v>109</v>
      </c>
      <c r="E76" s="159">
        <f>(E26-C76)/E$73</f>
        <v>-2.4507258322154404E-2</v>
      </c>
      <c r="F76" s="159">
        <f t="shared" si="26"/>
        <v>2.450753283682066E-2</v>
      </c>
      <c r="G76" s="159">
        <f t="shared" si="26"/>
        <v>2.4506733480005573E-2</v>
      </c>
      <c r="H76" s="159">
        <f t="shared" si="26"/>
        <v>2.4506823746730935E-2</v>
      </c>
      <c r="I76" s="159">
        <f t="shared" si="26"/>
        <v>2.4507228091543494E-2</v>
      </c>
      <c r="J76" s="159">
        <f t="shared" si="26"/>
        <v>2.4507277852712575E-2</v>
      </c>
      <c r="K76" s="159">
        <f t="shared" si="26"/>
        <v>2.4508077970176196E-2</v>
      </c>
      <c r="L76" s="159">
        <f t="shared" si="26"/>
        <v>2.4507762326678364E-2</v>
      </c>
      <c r="M76" s="159">
        <f t="shared" si="26"/>
        <v>2.450725476927083E-2</v>
      </c>
      <c r="N76" s="159">
        <f t="shared" si="26"/>
        <v>-2.4506693295849782E-2</v>
      </c>
      <c r="T76" s="159">
        <f>ABS(F76)-ABS($E76)</f>
        <v>2.7451466625555421E-7</v>
      </c>
      <c r="U76" s="159">
        <f>ABS(G76)-ABS($E76)</f>
        <v>-5.2484214883158353E-7</v>
      </c>
      <c r="V76" s="159" t="e">
        <f>ABS(#REF!)-ABS($E76)</f>
        <v>#REF!</v>
      </c>
      <c r="W76" s="159">
        <f>ABS(H76)-ABS($E76)</f>
        <v>-4.3457542346983513E-7</v>
      </c>
      <c r="X76" s="159">
        <f>ABS(I76)-ABS($E76)</f>
        <v>-3.0230610910397804E-8</v>
      </c>
      <c r="Y76" s="159">
        <f>ABS(J76)-ABS($E76)</f>
        <v>1.953055817072169E-8</v>
      </c>
      <c r="Z76" s="159">
        <f>ABS(K76)-ABS($E76)</f>
        <v>8.1964802179160245E-7</v>
      </c>
      <c r="AA76" s="159">
        <f>ABS(L76)-ABS($E76)</f>
        <v>5.0400452395946149E-7</v>
      </c>
      <c r="AB76" s="159">
        <f>ABS(M76)-ABS($E76)</f>
        <v>-3.5528835741482911E-9</v>
      </c>
      <c r="AC76" s="159">
        <f>ABS(N76)-ABS($E76)</f>
        <v>-5.6502630462265668E-7</v>
      </c>
      <c r="AD76" s="159" t="e">
        <f>ABS(#REF!)-ABS($E76)</f>
        <v>#REF!</v>
      </c>
      <c r="AE76" s="159" t="e">
        <f>ABS(#REF!)-ABS($E76)</f>
        <v>#REF!</v>
      </c>
    </row>
    <row r="77" spans="2:31" x14ac:dyDescent="0.25">
      <c r="D77" s="129" t="s">
        <v>110</v>
      </c>
      <c r="E77" s="159">
        <f>SQRT(E74^2+E75^2+E76^2)</f>
        <v>1</v>
      </c>
      <c r="F77" s="159">
        <f>SQRT(F74^2+F75^2+F76^2)</f>
        <v>1</v>
      </c>
      <c r="G77" s="159">
        <f t="shared" ref="G77:N77" si="27">SQRT(G74^2+G75^2+G76^2)</f>
        <v>1</v>
      </c>
      <c r="H77" s="159">
        <f t="shared" si="27"/>
        <v>1</v>
      </c>
      <c r="I77" s="159">
        <f t="shared" si="27"/>
        <v>1</v>
      </c>
      <c r="J77" s="159">
        <f t="shared" si="27"/>
        <v>1</v>
      </c>
      <c r="K77" s="159">
        <f t="shared" si="27"/>
        <v>1</v>
      </c>
      <c r="L77" s="159">
        <f t="shared" si="27"/>
        <v>1</v>
      </c>
      <c r="M77" s="159">
        <f t="shared" si="27"/>
        <v>1</v>
      </c>
      <c r="N77" s="159">
        <f t="shared" si="27"/>
        <v>1</v>
      </c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</row>
    <row r="78" spans="2:31" x14ac:dyDescent="0.25">
      <c r="D78" s="12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</row>
    <row r="79" spans="2:31" x14ac:dyDescent="0.25">
      <c r="B79" s="129" t="s">
        <v>91</v>
      </c>
      <c r="C79" s="129"/>
      <c r="D79" s="129" t="s">
        <v>97</v>
      </c>
      <c r="E79">
        <f>SQRT((E27-C80)^2+(E28-C81)^2+(E29-C82)^2)</f>
        <v>557.4406282816135</v>
      </c>
      <c r="F79" s="49">
        <f t="shared" ref="F79:N79" si="28">SQRT(F27^2+F28^2+F29^2)</f>
        <v>12152.551087471305</v>
      </c>
      <c r="G79" s="49">
        <f t="shared" si="28"/>
        <v>53650.788584698363</v>
      </c>
      <c r="H79" s="49">
        <f t="shared" si="28"/>
        <v>35878.075714285456</v>
      </c>
      <c r="I79" s="49">
        <f t="shared" si="28"/>
        <v>23628.972164696457</v>
      </c>
      <c r="J79" s="49">
        <f t="shared" si="28"/>
        <v>28650.112585468141</v>
      </c>
      <c r="K79" s="49">
        <f t="shared" si="28"/>
        <v>22573.540490804717</v>
      </c>
      <c r="L79" s="49">
        <f t="shared" si="28"/>
        <v>20935.606550563563</v>
      </c>
      <c r="M79" s="49">
        <f t="shared" si="28"/>
        <v>16938.870152699088</v>
      </c>
      <c r="N79" s="49">
        <f t="shared" si="28"/>
        <v>38258.771138132492</v>
      </c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</row>
    <row r="80" spans="2:31" x14ac:dyDescent="0.25">
      <c r="B80" s="129" t="s">
        <v>115</v>
      </c>
      <c r="C80" s="141">
        <v>3094.9380000000001</v>
      </c>
      <c r="D80" s="129" t="s">
        <v>107</v>
      </c>
      <c r="E80" s="159">
        <f>(E27-C80)/E$79</f>
        <v>-7.2088394640117404E-2</v>
      </c>
      <c r="F80" s="159">
        <f t="shared" ref="F80:N82" si="29">F27/F$79</f>
        <v>7.2088567552139368E-2</v>
      </c>
      <c r="G80" s="159">
        <f t="shared" si="29"/>
        <v>7.2088409173971968E-2</v>
      </c>
      <c r="H80" s="159">
        <f t="shared" si="29"/>
        <v>7.2088593061588907E-2</v>
      </c>
      <c r="I80" s="159">
        <f t="shared" si="29"/>
        <v>7.2089466614422337E-2</v>
      </c>
      <c r="J80" s="159">
        <f t="shared" si="29"/>
        <v>7.2090467143490683E-2</v>
      </c>
      <c r="K80" s="159">
        <f t="shared" si="29"/>
        <v>7.2088824553812339E-2</v>
      </c>
      <c r="L80" s="159">
        <f t="shared" si="29"/>
        <v>7.2087713167277398E-2</v>
      </c>
      <c r="M80" s="159">
        <f t="shared" si="29"/>
        <v>7.208863336173732E-2</v>
      </c>
      <c r="N80" s="159">
        <f t="shared" si="29"/>
        <v>7.208804459616068E-2</v>
      </c>
      <c r="T80" s="159">
        <f>ABS(F80)-ABS($E80)</f>
        <v>1.7291202196456634E-7</v>
      </c>
      <c r="U80" s="159">
        <f>ABS(G80)-ABS($E80)</f>
        <v>1.453385456429146E-8</v>
      </c>
      <c r="V80" s="159" t="e">
        <f>ABS(#REF!)-ABS($E80)</f>
        <v>#REF!</v>
      </c>
      <c r="W80" s="159">
        <f>ABS(H80)-ABS($E80)</f>
        <v>1.9842147150339606E-7</v>
      </c>
      <c r="X80" s="159">
        <f>ABS(I80)-ABS($E80)</f>
        <v>1.071974304933665E-6</v>
      </c>
      <c r="Y80" s="159">
        <f>ABS(J80)-ABS($E80)</f>
        <v>2.0725033732793552E-6</v>
      </c>
      <c r="Z80" s="159">
        <f>ABS(K80)-ABS($E80)</f>
        <v>4.29913694935391E-7</v>
      </c>
      <c r="AA80" s="159">
        <f>ABS(L80)-ABS($E80)</f>
        <v>-6.814728400056369E-7</v>
      </c>
      <c r="AB80" s="159">
        <f>ABS(M80)-ABS($E80)</f>
        <v>2.3872161991622676E-7</v>
      </c>
      <c r="AC80" s="159">
        <f>ABS(N80)-ABS($E80)</f>
        <v>-3.5004395672333377E-7</v>
      </c>
      <c r="AD80" s="159" t="e">
        <f>ABS(#REF!)-ABS($E80)</f>
        <v>#REF!</v>
      </c>
      <c r="AE80" s="159" t="e">
        <f>ABS(#REF!)-ABS($E80)</f>
        <v>#REF!</v>
      </c>
    </row>
    <row r="81" spans="2:31" x14ac:dyDescent="0.25">
      <c r="B81" s="129" t="s">
        <v>113</v>
      </c>
      <c r="C81" s="141">
        <v>-632.71699999999998</v>
      </c>
      <c r="D81" s="129" t="s">
        <v>108</v>
      </c>
      <c r="E81" s="159">
        <f>(E28-C81)/E$79</f>
        <v>0.8449240620510674</v>
      </c>
      <c r="F81" s="159">
        <f t="shared" si="29"/>
        <v>-0.8449254749964239</v>
      </c>
      <c r="G81" s="159">
        <f t="shared" si="29"/>
        <v>-0.84492700286103095</v>
      </c>
      <c r="H81" s="159">
        <f t="shared" si="29"/>
        <v>-0.8449171087492291</v>
      </c>
      <c r="I81" s="159">
        <f t="shared" si="29"/>
        <v>0.84493730242863807</v>
      </c>
      <c r="J81" s="159">
        <f t="shared" si="29"/>
        <v>-0.8449181457066326</v>
      </c>
      <c r="K81" s="159">
        <f t="shared" si="29"/>
        <v>0.84492727260791656</v>
      </c>
      <c r="L81" s="159">
        <f t="shared" si="29"/>
        <v>-0.84492417056451763</v>
      </c>
      <c r="M81" s="159">
        <f t="shared" si="29"/>
        <v>0.84492058035638729</v>
      </c>
      <c r="N81" s="159">
        <f t="shared" si="29"/>
        <v>-0.84493043133266499</v>
      </c>
      <c r="T81" s="159">
        <f>ABS(F81)-ABS($E81)</f>
        <v>1.4129453564937222E-6</v>
      </c>
      <c r="U81" s="159">
        <f>ABS(G81)-ABS($E81)</f>
        <v>2.9408099635475082E-6</v>
      </c>
      <c r="V81" s="159" t="e">
        <f>ABS(#REF!)-ABS($E81)</f>
        <v>#REF!</v>
      </c>
      <c r="W81" s="159">
        <f>ABS(H81)-ABS($E81)</f>
        <v>-6.9533018383083345E-6</v>
      </c>
      <c r="X81" s="159">
        <f>ABS(I81)-ABS($E81)</f>
        <v>1.3240377570666872E-5</v>
      </c>
      <c r="Y81" s="159">
        <f>ABS(J81)-ABS($E81)</f>
        <v>-5.9163444348087069E-6</v>
      </c>
      <c r="Z81" s="159">
        <f>ABS(K81)-ABS($E81)</f>
        <v>3.2105568491536118E-6</v>
      </c>
      <c r="AA81" s="159">
        <f>ABS(L81)-ABS($E81)</f>
        <v>1.0851345022544479E-7</v>
      </c>
      <c r="AB81" s="159">
        <f>ABS(M81)-ABS($E81)</f>
        <v>-3.4816946801186077E-6</v>
      </c>
      <c r="AC81" s="159">
        <f>ABS(N81)-ABS($E81)</f>
        <v>6.3692815975846528E-6</v>
      </c>
      <c r="AD81" s="159" t="e">
        <f>ABS(#REF!)-ABS($E81)</f>
        <v>#REF!</v>
      </c>
      <c r="AE81" s="159" t="e">
        <f>ABS(#REF!)-ABS($E81)</f>
        <v>#REF!</v>
      </c>
    </row>
    <row r="82" spans="2:31" x14ac:dyDescent="0.25">
      <c r="B82" s="129" t="s">
        <v>114</v>
      </c>
      <c r="C82" s="141">
        <v>64.013999999999996</v>
      </c>
      <c r="D82" s="129" t="s">
        <v>109</v>
      </c>
      <c r="E82" s="159">
        <f>(E29-C82)/E$79</f>
        <v>0.5300062195157097</v>
      </c>
      <c r="F82" s="159">
        <f t="shared" si="29"/>
        <v>-0.53000394350452529</v>
      </c>
      <c r="G82" s="159">
        <f t="shared" si="29"/>
        <v>-0.53000152933651179</v>
      </c>
      <c r="H82" s="159">
        <f t="shared" si="29"/>
        <v>-0.53001727716485258</v>
      </c>
      <c r="I82" s="159">
        <f t="shared" si="29"/>
        <v>-0.52998496560550135</v>
      </c>
      <c r="J82" s="159">
        <f t="shared" si="29"/>
        <v>-0.5300153692136661</v>
      </c>
      <c r="K82" s="159">
        <f t="shared" si="29"/>
        <v>-0.53000104280821658</v>
      </c>
      <c r="L82" s="159">
        <f t="shared" si="29"/>
        <v>-0.53000613921555129</v>
      </c>
      <c r="M82" s="159">
        <f t="shared" si="29"/>
        <v>-0.53001173744574992</v>
      </c>
      <c r="N82" s="159">
        <f t="shared" si="29"/>
        <v>-0.52999611322565265</v>
      </c>
      <c r="T82" s="159">
        <f>ABS(F82)-ABS($E82)</f>
        <v>-2.2760111844100095E-6</v>
      </c>
      <c r="U82" s="159">
        <f>ABS(G82)-ABS($E82)</f>
        <v>-4.6901791979081509E-6</v>
      </c>
      <c r="V82" s="159" t="e">
        <f>ABS(#REF!)-ABS($E82)</f>
        <v>#REF!</v>
      </c>
      <c r="W82" s="159">
        <f>ABS(H82)-ABS($E82)</f>
        <v>1.1057649142887094E-5</v>
      </c>
      <c r="X82" s="159">
        <f>ABS(I82)-ABS($E82)</f>
        <v>-2.1253910208351989E-5</v>
      </c>
      <c r="Y82" s="159">
        <f>ABS(J82)-ABS($E82)</f>
        <v>9.1496979564009706E-6</v>
      </c>
      <c r="Z82" s="159">
        <f>ABS(K82)-ABS($E82)</f>
        <v>-5.1767074931152735E-6</v>
      </c>
      <c r="AA82" s="159">
        <f>ABS(L82)-ABS($E82)</f>
        <v>-8.0300158411539257E-8</v>
      </c>
      <c r="AB82" s="159">
        <f>ABS(M82)-ABS($E82)</f>
        <v>5.5179300402219411E-6</v>
      </c>
      <c r="AC82" s="159">
        <f>ABS(N82)-ABS($E82)</f>
        <v>-1.0106290057043665E-5</v>
      </c>
      <c r="AD82" s="159" t="e">
        <f>ABS(#REF!)-ABS($E82)</f>
        <v>#REF!</v>
      </c>
      <c r="AE82" s="159" t="e">
        <f>ABS(#REF!)-ABS($E82)</f>
        <v>#REF!</v>
      </c>
    </row>
    <row r="83" spans="2:31" x14ac:dyDescent="0.25">
      <c r="D83" s="129" t="s">
        <v>110</v>
      </c>
      <c r="E83" s="159">
        <f>SQRT(E80^2+E81^2+E82^2)</f>
        <v>1</v>
      </c>
      <c r="F83" s="159">
        <f>SQRT(F80^2+F81^2+F82^2)</f>
        <v>1</v>
      </c>
      <c r="G83" s="159">
        <f t="shared" ref="G83:N83" si="30">SQRT(G80^2+G81^2+G82^2)</f>
        <v>1</v>
      </c>
      <c r="H83" s="159">
        <f t="shared" si="30"/>
        <v>1</v>
      </c>
      <c r="I83" s="159">
        <f t="shared" si="30"/>
        <v>1</v>
      </c>
      <c r="J83" s="159">
        <f t="shared" si="30"/>
        <v>1</v>
      </c>
      <c r="K83" s="159">
        <f t="shared" si="30"/>
        <v>1</v>
      </c>
      <c r="L83" s="159">
        <f t="shared" si="30"/>
        <v>1</v>
      </c>
      <c r="M83" s="159">
        <f t="shared" si="30"/>
        <v>0.99999999999999989</v>
      </c>
      <c r="N83" s="159">
        <f t="shared" si="30"/>
        <v>1</v>
      </c>
      <c r="T83" s="159"/>
    </row>
    <row r="84" spans="2:31" x14ac:dyDescent="0.25">
      <c r="D84" s="129"/>
      <c r="E84" s="159"/>
      <c r="F84" s="159"/>
      <c r="G84" s="159"/>
      <c r="H84" s="159"/>
      <c r="I84" s="159"/>
      <c r="J84" s="159"/>
      <c r="K84" s="159"/>
      <c r="L84" s="159"/>
      <c r="M84" s="159"/>
      <c r="N84" s="159"/>
    </row>
    <row r="85" spans="2:31" x14ac:dyDescent="0.25">
      <c r="D85" s="129"/>
      <c r="E85" s="159"/>
      <c r="F85" s="159"/>
      <c r="G85" s="159"/>
      <c r="H85" s="159"/>
      <c r="I85" s="159"/>
      <c r="J85" s="159"/>
      <c r="K85" s="159"/>
      <c r="L85" s="159"/>
      <c r="M85" s="159"/>
      <c r="N85" s="159"/>
    </row>
    <row r="86" spans="2:31" x14ac:dyDescent="0.25">
      <c r="D86" s="129"/>
      <c r="E86" s="159"/>
      <c r="F86" s="159"/>
      <c r="G86" s="159"/>
      <c r="H86" s="159"/>
      <c r="I86" s="159"/>
      <c r="J86" s="159"/>
      <c r="K86" s="159"/>
      <c r="L86" s="159"/>
      <c r="M86" s="159"/>
      <c r="N86" s="159"/>
    </row>
    <row r="87" spans="2:31" x14ac:dyDescent="0.25">
      <c r="D87" s="129"/>
      <c r="E87" s="159"/>
      <c r="F87" s="159"/>
      <c r="G87" s="159"/>
      <c r="H87" s="159"/>
      <c r="I87" s="159"/>
      <c r="J87" s="159"/>
      <c r="K87" s="159"/>
      <c r="L87" s="159"/>
      <c r="M87" s="159"/>
      <c r="N87" s="159"/>
    </row>
    <row r="89" spans="2:31" x14ac:dyDescent="0.25">
      <c r="B89" s="140"/>
    </row>
  </sheetData>
  <mergeCells count="3">
    <mergeCell ref="B4:E4"/>
    <mergeCell ref="B36:E36"/>
    <mergeCell ref="B44:E44"/>
  </mergeCells>
  <conditionalFormatting sqref="T50:AE8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37:N4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45:N46">
    <cfRule type="dataBar" priority="2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{EE2AC725-78F6-4317-92C2-9A5771AF91F8}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2AC725-78F6-4317-92C2-9A5771AF91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F45:N46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AC8-118D-4FC9-9BD0-6B2986122F63}">
  <dimension ref="A1:AB84"/>
  <sheetViews>
    <sheetView showGridLines="0" tabSelected="1" topLeftCell="E15" zoomScale="70" zoomScaleNormal="70" workbookViewId="0">
      <selection activeCell="Q33" sqref="Q33:AB56"/>
    </sheetView>
  </sheetViews>
  <sheetFormatPr defaultRowHeight="15" x14ac:dyDescent="0.25"/>
  <cols>
    <col min="1" max="1" width="3.7109375" customWidth="1"/>
    <col min="5" max="6" width="15.7109375" customWidth="1"/>
    <col min="7" max="8" width="19.5703125" bestFit="1" customWidth="1"/>
    <col min="9" max="10" width="15.7109375" customWidth="1"/>
    <col min="11" max="11" width="17.140625" bestFit="1" customWidth="1"/>
    <col min="12" max="13" width="15.7109375" customWidth="1"/>
    <col min="15" max="15" width="26.5703125" bestFit="1" customWidth="1"/>
    <col min="20" max="21" width="15.7109375" customWidth="1"/>
    <col min="22" max="23" width="19.5703125" style="118" bestFit="1" customWidth="1"/>
    <col min="24" max="25" width="15.7109375" customWidth="1"/>
    <col min="26" max="26" width="17.140625" bestFit="1" customWidth="1"/>
    <col min="27" max="28" width="15.7109375" customWidth="1"/>
  </cols>
  <sheetData>
    <row r="1" spans="2:28" ht="15.75" thickBot="1" x14ac:dyDescent="0.3"/>
    <row r="2" spans="2:28" ht="15.75" thickBot="1" x14ac:dyDescent="0.3">
      <c r="B2" s="212" t="s">
        <v>122</v>
      </c>
      <c r="C2" s="212"/>
      <c r="D2" s="212"/>
      <c r="Q2" s="233" t="s">
        <v>131</v>
      </c>
      <c r="R2" s="234"/>
      <c r="S2" s="234"/>
      <c r="T2" s="235"/>
      <c r="U2" s="235"/>
      <c r="V2" s="236"/>
      <c r="W2" s="236"/>
      <c r="X2" s="235"/>
      <c r="Y2" s="235"/>
      <c r="Z2" s="235"/>
      <c r="AA2" s="235"/>
      <c r="AB2" s="237"/>
    </row>
    <row r="3" spans="2:28" ht="30.75" thickBot="1" x14ac:dyDescent="0.3">
      <c r="B3" s="132"/>
      <c r="C3" s="132"/>
      <c r="D3" s="132"/>
      <c r="E3" s="215" t="s">
        <v>23</v>
      </c>
      <c r="F3" s="215" t="s">
        <v>24</v>
      </c>
      <c r="G3" s="215" t="s">
        <v>120</v>
      </c>
      <c r="H3" s="215" t="s">
        <v>121</v>
      </c>
      <c r="I3" s="215" t="s">
        <v>76</v>
      </c>
      <c r="J3" s="215" t="s">
        <v>77</v>
      </c>
      <c r="K3" s="215" t="s">
        <v>78</v>
      </c>
      <c r="L3" s="215" t="s">
        <v>79</v>
      </c>
      <c r="M3" s="215" t="s">
        <v>31</v>
      </c>
      <c r="Q3" s="238"/>
      <c r="R3" s="239"/>
      <c r="S3" s="239"/>
      <c r="T3" s="215" t="s">
        <v>23</v>
      </c>
      <c r="U3" s="215" t="s">
        <v>24</v>
      </c>
      <c r="V3" s="216" t="s">
        <v>120</v>
      </c>
      <c r="W3" s="216" t="s">
        <v>121</v>
      </c>
      <c r="X3" s="215" t="s">
        <v>76</v>
      </c>
      <c r="Y3" s="215" t="s">
        <v>77</v>
      </c>
      <c r="Z3" s="215" t="s">
        <v>78</v>
      </c>
      <c r="AA3" s="215" t="s">
        <v>79</v>
      </c>
      <c r="AB3" s="215" t="s">
        <v>31</v>
      </c>
    </row>
    <row r="4" spans="2:28" ht="16.5" thickBot="1" x14ac:dyDescent="0.3">
      <c r="B4" s="200" t="s">
        <v>95</v>
      </c>
      <c r="C4" s="200"/>
      <c r="D4" s="200"/>
      <c r="E4" s="196"/>
      <c r="F4" s="196"/>
      <c r="I4" s="196"/>
      <c r="J4" s="196"/>
      <c r="K4" s="196"/>
      <c r="L4" s="196"/>
      <c r="M4" s="196"/>
      <c r="N4" s="196"/>
      <c r="O4" s="196"/>
      <c r="Q4" s="240" t="s">
        <v>95</v>
      </c>
      <c r="R4" s="200"/>
      <c r="S4" s="200"/>
      <c r="T4" s="241"/>
      <c r="U4" s="241"/>
      <c r="V4" s="160"/>
      <c r="W4" s="160"/>
      <c r="X4" s="241"/>
      <c r="Y4" s="241"/>
      <c r="Z4" s="241"/>
      <c r="AA4" s="241"/>
      <c r="AB4" s="242"/>
    </row>
    <row r="5" spans="2:28" x14ac:dyDescent="0.25">
      <c r="B5" s="190" t="s">
        <v>80</v>
      </c>
      <c r="C5" s="191" t="s">
        <v>96</v>
      </c>
      <c r="D5" s="191" t="s">
        <v>97</v>
      </c>
      <c r="E5" s="192">
        <v>29497.624228762921</v>
      </c>
      <c r="F5" s="203">
        <v>15114.341919795457</v>
      </c>
      <c r="G5" s="209"/>
      <c r="H5" s="209"/>
      <c r="I5" s="206">
        <v>-6423.407736475092</v>
      </c>
      <c r="J5" s="192">
        <v>6204.7546374564936</v>
      </c>
      <c r="K5" s="192">
        <v>15025.396003025156</v>
      </c>
      <c r="L5" s="192">
        <v>25549.884460159039</v>
      </c>
      <c r="M5" s="192">
        <v>11498.061616270468</v>
      </c>
      <c r="N5" s="196"/>
      <c r="O5" s="201" t="s">
        <v>98</v>
      </c>
      <c r="Q5" s="243" t="s">
        <v>80</v>
      </c>
      <c r="R5" s="191" t="s">
        <v>96</v>
      </c>
      <c r="S5" s="191" t="s">
        <v>97</v>
      </c>
      <c r="T5" s="223">
        <f ca="1">ABS(E66)/ABS(E5)-1</f>
        <v>-9.6531256581362301E-2</v>
      </c>
      <c r="U5" s="224">
        <f t="shared" ref="U5:AB10" ca="1" si="0">ABS(F66)/ABS(F5)-1</f>
        <v>5.8114538227731716E-2</v>
      </c>
      <c r="V5" s="229"/>
      <c r="W5" s="229"/>
      <c r="X5" s="225">
        <f t="shared" ca="1" si="0"/>
        <v>0.25190000000000001</v>
      </c>
      <c r="Y5" s="223">
        <f t="shared" ca="1" si="0"/>
        <v>0.28820000000000023</v>
      </c>
      <c r="Z5" s="223">
        <f t="shared" ca="1" si="0"/>
        <v>0.22040000000000015</v>
      </c>
      <c r="AA5" s="223">
        <f t="shared" ca="1" si="0"/>
        <v>0.34519999999999995</v>
      </c>
      <c r="AB5" s="223">
        <f t="shared" ca="1" si="0"/>
        <v>-5.5000000000000049E-2</v>
      </c>
    </row>
    <row r="6" spans="2:28" x14ac:dyDescent="0.25">
      <c r="B6" s="193" t="s">
        <v>80</v>
      </c>
      <c r="C6" s="194" t="s">
        <v>99</v>
      </c>
      <c r="D6" s="194" t="s">
        <v>97</v>
      </c>
      <c r="E6" s="195">
        <v>-15514.912492927802</v>
      </c>
      <c r="F6" s="204">
        <v>17016.296233167126</v>
      </c>
      <c r="G6" s="210"/>
      <c r="H6" s="210"/>
      <c r="I6" s="207">
        <v>-5407.6487336772952</v>
      </c>
      <c r="J6" s="195">
        <v>6529.5630991699909</v>
      </c>
      <c r="K6" s="195">
        <v>-19611.728845534544</v>
      </c>
      <c r="L6" s="195">
        <v>-9662.9916037012936</v>
      </c>
      <c r="M6" s="195">
        <v>12944.951464503625</v>
      </c>
      <c r="N6" s="196"/>
      <c r="O6" s="202" t="s">
        <v>100</v>
      </c>
      <c r="Q6" s="244" t="s">
        <v>80</v>
      </c>
      <c r="R6" s="245" t="s">
        <v>99</v>
      </c>
      <c r="S6" s="245" t="s">
        <v>97</v>
      </c>
      <c r="T6" s="217">
        <f t="shared" ref="T6:T10" ca="1" si="1">ABS(E67)/ABS(E6)-1</f>
        <v>7.986178798719834E-2</v>
      </c>
      <c r="U6" s="219">
        <f t="shared" ca="1" si="0"/>
        <v>3.836110420081007E-2</v>
      </c>
      <c r="V6" s="230"/>
      <c r="W6" s="230"/>
      <c r="X6" s="221">
        <f t="shared" ca="1" si="0"/>
        <v>0.28820000000000001</v>
      </c>
      <c r="Y6" s="217">
        <f t="shared" ca="1" si="0"/>
        <v>0.39149999999999996</v>
      </c>
      <c r="Z6" s="217">
        <f t="shared" ca="1" si="0"/>
        <v>0.14480000000000004</v>
      </c>
      <c r="AA6" s="217">
        <f t="shared" ca="1" si="0"/>
        <v>0.16549999999999998</v>
      </c>
      <c r="AB6" s="217">
        <f t="shared" ca="1" si="0"/>
        <v>-1.4399999999999968E-2</v>
      </c>
    </row>
    <row r="7" spans="2:28" x14ac:dyDescent="0.25">
      <c r="B7" s="193" t="s">
        <v>88</v>
      </c>
      <c r="C7" s="194" t="s">
        <v>96</v>
      </c>
      <c r="D7" s="194" t="s">
        <v>97</v>
      </c>
      <c r="E7" s="195">
        <v>-16594.517977748739</v>
      </c>
      <c r="F7" s="204">
        <v>-1991.9657129244476</v>
      </c>
      <c r="G7" s="210"/>
      <c r="H7" s="210"/>
      <c r="I7" s="207">
        <v>4925.5303009409809</v>
      </c>
      <c r="J7" s="195">
        <v>-1837.4128237460318</v>
      </c>
      <c r="K7" s="195">
        <v>-8691.2078977220153</v>
      </c>
      <c r="L7" s="195">
        <v>-14327.323746599266</v>
      </c>
      <c r="M7" s="195">
        <v>-1515.3649842144696</v>
      </c>
      <c r="N7" s="196"/>
      <c r="O7" s="196"/>
      <c r="Q7" s="244" t="s">
        <v>88</v>
      </c>
      <c r="R7" s="245" t="s">
        <v>96</v>
      </c>
      <c r="S7" s="245" t="s">
        <v>97</v>
      </c>
      <c r="T7" s="217">
        <f t="shared" ca="1" si="1"/>
        <v>-9.8422888946170128E-2</v>
      </c>
      <c r="U7" s="219">
        <f t="shared" ca="1" si="0"/>
        <v>6.8027028128893052E-2</v>
      </c>
      <c r="V7" s="230"/>
      <c r="W7" s="230"/>
      <c r="X7" s="221">
        <f t="shared" ca="1" si="0"/>
        <v>0.17700000000000005</v>
      </c>
      <c r="Y7" s="217">
        <f t="shared" ca="1" si="0"/>
        <v>0.37939999999999996</v>
      </c>
      <c r="Z7" s="217">
        <f t="shared" ca="1" si="0"/>
        <v>0.18450000000000011</v>
      </c>
      <c r="AA7" s="217">
        <f t="shared" ca="1" si="0"/>
        <v>0.12349999999999994</v>
      </c>
      <c r="AB7" s="217">
        <f t="shared" ca="1" si="0"/>
        <v>-1.4399999999999968E-2</v>
      </c>
    </row>
    <row r="8" spans="2:28" x14ac:dyDescent="0.25">
      <c r="B8" s="193" t="s">
        <v>88</v>
      </c>
      <c r="C8" s="194" t="s">
        <v>99</v>
      </c>
      <c r="D8" s="194" t="s">
        <v>97</v>
      </c>
      <c r="E8" s="195">
        <v>8772.8093362404779</v>
      </c>
      <c r="F8" s="204">
        <v>-1872.3441850890893</v>
      </c>
      <c r="G8" s="210"/>
      <c r="H8" s="210"/>
      <c r="I8" s="207">
        <v>3260.6310139439206</v>
      </c>
      <c r="J8" s="195">
        <v>-1384.8192810194525</v>
      </c>
      <c r="K8" s="195">
        <v>9744.2217014379967</v>
      </c>
      <c r="L8" s="195">
        <v>5872.7686448408849</v>
      </c>
      <c r="M8" s="195">
        <v>-1424.364284019877</v>
      </c>
      <c r="N8" s="196"/>
      <c r="O8" s="196"/>
      <c r="Q8" s="244" t="s">
        <v>88</v>
      </c>
      <c r="R8" s="245" t="s">
        <v>99</v>
      </c>
      <c r="S8" s="245" t="s">
        <v>97</v>
      </c>
      <c r="T8" s="217">
        <f t="shared" ca="1" si="1"/>
        <v>-5.6580428814475003E-2</v>
      </c>
      <c r="U8" s="219">
        <f t="shared" ca="1" si="0"/>
        <v>4.8240966438481747E-2</v>
      </c>
      <c r="V8" s="230"/>
      <c r="W8" s="230"/>
      <c r="X8" s="221">
        <f t="shared" ca="1" si="0"/>
        <v>0.26260000000000017</v>
      </c>
      <c r="Y8" s="217">
        <f t="shared" ca="1" si="0"/>
        <v>0.23899999999999966</v>
      </c>
      <c r="Z8" s="217">
        <f t="shared" ca="1" si="0"/>
        <v>0.32249999999999979</v>
      </c>
      <c r="AA8" s="217">
        <f t="shared" ca="1" si="0"/>
        <v>0.22039999999999993</v>
      </c>
      <c r="AB8" s="217">
        <f t="shared" ca="1" si="0"/>
        <v>-2.1000000000000019E-2</v>
      </c>
    </row>
    <row r="9" spans="2:28" x14ac:dyDescent="0.25">
      <c r="B9" s="193" t="s">
        <v>89</v>
      </c>
      <c r="C9" s="194" t="s">
        <v>101</v>
      </c>
      <c r="D9" s="194" t="s">
        <v>97</v>
      </c>
      <c r="E9" s="195">
        <v>5139.7529962778299</v>
      </c>
      <c r="F9" s="204">
        <v>-1979.0581256479193</v>
      </c>
      <c r="G9" s="210"/>
      <c r="H9" s="210"/>
      <c r="I9" s="207">
        <v>1560.1988063088113</v>
      </c>
      <c r="J9" s="195">
        <v>-992.21289543809917</v>
      </c>
      <c r="K9" s="195">
        <v>5606.4899233916694</v>
      </c>
      <c r="L9" s="195">
        <v>3479.3121706329471</v>
      </c>
      <c r="M9" s="195">
        <v>-1505.545685788509</v>
      </c>
      <c r="N9" s="196"/>
      <c r="O9" s="196"/>
      <c r="Q9" s="244" t="s">
        <v>89</v>
      </c>
      <c r="R9" s="245" t="s">
        <v>101</v>
      </c>
      <c r="S9" s="245" t="s">
        <v>97</v>
      </c>
      <c r="T9" s="217">
        <f t="shared" ca="1" si="1"/>
        <v>3.2374124454936926E-2</v>
      </c>
      <c r="U9" s="219">
        <f t="shared" ca="1" si="0"/>
        <v>6.8015167110168528E-2</v>
      </c>
      <c r="V9" s="230"/>
      <c r="W9" s="230"/>
      <c r="X9" s="221">
        <f t="shared" ca="1" si="0"/>
        <v>0.28400000000000003</v>
      </c>
      <c r="Y9" s="217">
        <f t="shared" ca="1" si="0"/>
        <v>0.22039999999999993</v>
      </c>
      <c r="Z9" s="217">
        <f t="shared" ca="1" si="0"/>
        <v>0.20909999999999984</v>
      </c>
      <c r="AA9" s="217">
        <f t="shared" ca="1" si="0"/>
        <v>0.11299999999999999</v>
      </c>
      <c r="AB9" s="217">
        <f t="shared" ca="1" si="0"/>
        <v>-2.5599999999999845E-2</v>
      </c>
    </row>
    <row r="10" spans="2:28" ht="15.75" thickBot="1" x14ac:dyDescent="0.3">
      <c r="B10" s="197" t="s">
        <v>91</v>
      </c>
      <c r="C10" s="198" t="s">
        <v>102</v>
      </c>
      <c r="D10" s="198" t="s">
        <v>97</v>
      </c>
      <c r="E10" s="199">
        <v>-11296.759497034425</v>
      </c>
      <c r="F10" s="205">
        <v>-29263.246086227005</v>
      </c>
      <c r="G10" s="211"/>
      <c r="H10" s="211"/>
      <c r="I10" s="208">
        <v>-16518.404844724584</v>
      </c>
      <c r="J10" s="199">
        <v>-4774.9669321756573</v>
      </c>
      <c r="K10" s="199">
        <v>-16027.088383584349</v>
      </c>
      <c r="L10" s="199">
        <v>-6241.4767797398072</v>
      </c>
      <c r="M10" s="199">
        <v>-22261.677575974474</v>
      </c>
      <c r="N10" s="196"/>
      <c r="O10" s="196"/>
      <c r="Q10" s="246" t="s">
        <v>91</v>
      </c>
      <c r="R10" s="198" t="s">
        <v>102</v>
      </c>
      <c r="S10" s="198" t="s">
        <v>97</v>
      </c>
      <c r="T10" s="226">
        <f t="shared" ca="1" si="1"/>
        <v>9.3115643466774589E-3</v>
      </c>
      <c r="U10" s="227">
        <f t="shared" ca="1" si="0"/>
        <v>8.7804537000718108E-2</v>
      </c>
      <c r="V10" s="231"/>
      <c r="W10" s="231"/>
      <c r="X10" s="228">
        <f t="shared" ca="1" si="0"/>
        <v>0.18720000000000026</v>
      </c>
      <c r="Y10" s="226">
        <f t="shared" ca="1" si="0"/>
        <v>0.25399999999999978</v>
      </c>
      <c r="Z10" s="226">
        <f t="shared" ca="1" si="0"/>
        <v>0.25440000000000018</v>
      </c>
      <c r="AA10" s="226">
        <f t="shared" ca="1" si="0"/>
        <v>0.24260000000000015</v>
      </c>
      <c r="AB10" s="226">
        <f t="shared" ca="1" si="0"/>
        <v>-4.3000000000000038E-2</v>
      </c>
    </row>
    <row r="11" spans="2:28" x14ac:dyDescent="0.25">
      <c r="B11" s="196"/>
      <c r="C11" s="196"/>
      <c r="D11" s="196"/>
      <c r="E11" s="196"/>
      <c r="F11" s="196"/>
      <c r="I11" s="196"/>
      <c r="J11" s="196"/>
      <c r="K11" s="196"/>
      <c r="L11" s="196"/>
      <c r="M11" s="196"/>
      <c r="N11" s="196"/>
      <c r="O11" s="196"/>
      <c r="Q11" s="247"/>
      <c r="R11" s="2"/>
      <c r="S11" s="2"/>
      <c r="T11" s="2"/>
      <c r="U11" s="2"/>
      <c r="V11" s="160"/>
      <c r="W11" s="160"/>
      <c r="X11" s="2"/>
      <c r="Y11" s="2"/>
      <c r="Z11" s="2"/>
      <c r="AA11" s="2"/>
      <c r="AB11" s="248"/>
    </row>
    <row r="12" spans="2:28" ht="16.5" thickBot="1" x14ac:dyDescent="0.3">
      <c r="B12" s="200" t="s">
        <v>103</v>
      </c>
      <c r="C12" s="200"/>
      <c r="D12" s="200"/>
      <c r="E12" s="196"/>
      <c r="F12" s="196"/>
      <c r="I12" s="196"/>
      <c r="J12" s="196"/>
      <c r="K12" s="196"/>
      <c r="L12" s="196"/>
      <c r="M12" s="196"/>
      <c r="N12" s="196"/>
      <c r="O12" s="196"/>
      <c r="Q12" s="247"/>
      <c r="R12" s="2"/>
      <c r="S12" s="2"/>
      <c r="T12" s="2"/>
      <c r="U12" s="2"/>
      <c r="V12" s="160"/>
      <c r="W12" s="160"/>
      <c r="X12" s="2"/>
      <c r="Y12" s="2"/>
      <c r="Z12" s="2"/>
      <c r="AA12" s="2"/>
      <c r="AB12" s="248"/>
    </row>
    <row r="13" spans="2:28" x14ac:dyDescent="0.25">
      <c r="B13" s="190" t="s">
        <v>80</v>
      </c>
      <c r="C13" s="191" t="s">
        <v>101</v>
      </c>
      <c r="D13" s="191" t="s">
        <v>97</v>
      </c>
      <c r="E13" s="192">
        <v>26446.172016476157</v>
      </c>
      <c r="F13" s="203">
        <v>27371.649939980529</v>
      </c>
      <c r="G13" s="209"/>
      <c r="H13" s="209"/>
      <c r="I13" s="206">
        <v>10086.103608591031</v>
      </c>
      <c r="J13" s="192">
        <v>10842.318731933803</v>
      </c>
      <c r="K13" s="192">
        <v>18586.971696239641</v>
      </c>
      <c r="L13" s="192">
        <v>22895.885986714649</v>
      </c>
      <c r="M13" s="192">
        <v>20822.667584136485</v>
      </c>
      <c r="N13" s="196"/>
      <c r="O13" s="196"/>
      <c r="Q13" s="247"/>
      <c r="R13" s="2"/>
      <c r="S13" s="2"/>
      <c r="T13" s="2"/>
      <c r="U13" s="2"/>
      <c r="V13" s="160"/>
      <c r="W13" s="160"/>
      <c r="X13" s="2"/>
      <c r="Y13" s="2"/>
      <c r="Z13" s="2"/>
      <c r="AA13" s="2"/>
      <c r="AB13" s="248"/>
    </row>
    <row r="14" spans="2:28" ht="15.75" thickBot="1" x14ac:dyDescent="0.3">
      <c r="B14" s="197" t="s">
        <v>88</v>
      </c>
      <c r="C14" s="198" t="s">
        <v>101</v>
      </c>
      <c r="D14" s="198" t="s">
        <v>97</v>
      </c>
      <c r="E14" s="199">
        <v>14522.725773223396</v>
      </c>
      <c r="F14" s="205">
        <v>3331.2053216242175</v>
      </c>
      <c r="G14" s="211"/>
      <c r="H14" s="211"/>
      <c r="I14" s="208">
        <v>7105.9895039139856</v>
      </c>
      <c r="J14" s="199">
        <v>2786.7117466536374</v>
      </c>
      <c r="K14" s="199">
        <v>9392.1258153496328</v>
      </c>
      <c r="L14" s="199">
        <v>12570.563675272211</v>
      </c>
      <c r="M14" s="199">
        <v>2534.1760989486756</v>
      </c>
      <c r="N14" s="196"/>
      <c r="O14" s="196"/>
      <c r="Q14" s="247"/>
      <c r="R14" s="2"/>
      <c r="S14" s="2"/>
      <c r="T14" s="2"/>
      <c r="U14" s="2"/>
      <c r="V14" s="160"/>
      <c r="W14" s="160"/>
      <c r="X14" s="2"/>
      <c r="Y14" s="2"/>
      <c r="Z14" s="2"/>
      <c r="AA14" s="2"/>
      <c r="AB14" s="248"/>
    </row>
    <row r="15" spans="2:28" x14ac:dyDescent="0.25">
      <c r="Q15" s="247"/>
      <c r="R15" s="2"/>
      <c r="S15" s="2"/>
      <c r="T15" s="2"/>
      <c r="U15" s="2"/>
      <c r="V15" s="160"/>
      <c r="W15" s="160"/>
      <c r="X15" s="2"/>
      <c r="Y15" s="2"/>
      <c r="Z15" s="2"/>
      <c r="AA15" s="2"/>
      <c r="AB15" s="248"/>
    </row>
    <row r="16" spans="2:28" x14ac:dyDescent="0.25">
      <c r="Q16" s="247"/>
      <c r="R16" s="2"/>
      <c r="S16" s="2"/>
      <c r="T16" s="2"/>
      <c r="U16" s="2"/>
      <c r="V16" s="160"/>
      <c r="W16" s="160"/>
      <c r="X16" s="2"/>
      <c r="Y16" s="2"/>
      <c r="Z16" s="2"/>
      <c r="AA16" s="2"/>
      <c r="AB16" s="248"/>
    </row>
    <row r="17" spans="2:28" ht="15.75" thickBot="1" x14ac:dyDescent="0.3">
      <c r="B17" s="213" t="s">
        <v>123</v>
      </c>
      <c r="C17" s="213"/>
      <c r="D17" s="213"/>
      <c r="Q17" s="249" t="s">
        <v>132</v>
      </c>
      <c r="R17" s="250"/>
      <c r="S17" s="250"/>
      <c r="T17" s="2"/>
      <c r="U17" s="2"/>
      <c r="V17" s="160"/>
      <c r="W17" s="160"/>
      <c r="X17" s="2"/>
      <c r="Y17" s="2"/>
      <c r="Z17" s="2"/>
      <c r="AA17" s="2"/>
      <c r="AB17" s="248"/>
    </row>
    <row r="18" spans="2:28" ht="30.75" thickBot="1" x14ac:dyDescent="0.3">
      <c r="E18" s="215" t="s">
        <v>23</v>
      </c>
      <c r="F18" s="215" t="s">
        <v>24</v>
      </c>
      <c r="G18" s="215" t="s">
        <v>120</v>
      </c>
      <c r="H18" s="215" t="s">
        <v>121</v>
      </c>
      <c r="I18" s="215" t="s">
        <v>76</v>
      </c>
      <c r="J18" s="215" t="s">
        <v>77</v>
      </c>
      <c r="K18" s="215" t="s">
        <v>78</v>
      </c>
      <c r="L18" s="215" t="s">
        <v>79</v>
      </c>
      <c r="M18" s="215" t="s">
        <v>31</v>
      </c>
      <c r="Q18" s="247"/>
      <c r="R18" s="2"/>
      <c r="S18" s="2"/>
      <c r="T18" s="215" t="s">
        <v>23</v>
      </c>
      <c r="U18" s="215" t="s">
        <v>24</v>
      </c>
      <c r="V18" s="216" t="s">
        <v>120</v>
      </c>
      <c r="W18" s="216" t="s">
        <v>121</v>
      </c>
      <c r="X18" s="215" t="s">
        <v>76</v>
      </c>
      <c r="Y18" s="215" t="s">
        <v>77</v>
      </c>
      <c r="Z18" s="215" t="s">
        <v>78</v>
      </c>
      <c r="AA18" s="215" t="s">
        <v>79</v>
      </c>
      <c r="AB18" s="215" t="s">
        <v>31</v>
      </c>
    </row>
    <row r="19" spans="2:28" ht="16.5" thickBot="1" x14ac:dyDescent="0.3">
      <c r="B19" s="200" t="s">
        <v>95</v>
      </c>
      <c r="C19" s="200"/>
      <c r="D19" s="200"/>
      <c r="E19" s="196"/>
      <c r="F19" s="196"/>
      <c r="I19" s="196"/>
      <c r="J19" s="196"/>
      <c r="K19" s="196"/>
      <c r="L19" s="196"/>
      <c r="M19" s="196"/>
      <c r="N19" s="196"/>
      <c r="O19" s="196"/>
      <c r="Q19" s="240" t="s">
        <v>95</v>
      </c>
      <c r="R19" s="200"/>
      <c r="S19" s="200"/>
      <c r="T19" s="241"/>
      <c r="U19" s="241"/>
      <c r="V19" s="160"/>
      <c r="W19" s="160"/>
      <c r="X19" s="241"/>
      <c r="Y19" s="241"/>
      <c r="Z19" s="241"/>
      <c r="AA19" s="241"/>
      <c r="AB19" s="242"/>
    </row>
    <row r="20" spans="2:28" x14ac:dyDescent="0.25">
      <c r="B20" s="190" t="s">
        <v>80</v>
      </c>
      <c r="C20" s="191" t="s">
        <v>96</v>
      </c>
      <c r="D20" s="191" t="s">
        <v>97</v>
      </c>
      <c r="E20" s="192">
        <v>38918.41882416288</v>
      </c>
      <c r="F20" s="203">
        <v>34212.534600964769</v>
      </c>
      <c r="G20" s="209"/>
      <c r="H20" s="209"/>
      <c r="I20" s="206">
        <v>7684.4729296989071</v>
      </c>
      <c r="J20" s="192">
        <v>14724.977460015656</v>
      </c>
      <c r="K20" s="192">
        <v>29035.95926070998</v>
      </c>
      <c r="L20" s="192">
        <v>34902.671749584108</v>
      </c>
      <c r="M20" s="192">
        <v>24004.8090464261</v>
      </c>
      <c r="N20" s="196"/>
      <c r="O20" s="201" t="s">
        <v>98</v>
      </c>
      <c r="Q20" s="243" t="s">
        <v>80</v>
      </c>
      <c r="R20" s="191" t="s">
        <v>96</v>
      </c>
      <c r="S20" s="191" t="s">
        <v>97</v>
      </c>
      <c r="T20" s="223">
        <f ca="1">ABS(E79)/ABS(E20)-1</f>
        <v>-0.16855044316656309</v>
      </c>
      <c r="U20" s="224">
        <f ca="1">ABS(F79)/ABS(F20)-1</f>
        <v>0.13119999999999998</v>
      </c>
      <c r="V20" s="229"/>
      <c r="W20" s="229"/>
      <c r="X20" s="225">
        <f ca="1">ABS(I79)/ABS(I20)-1</f>
        <v>-2.9899999999999927E-2</v>
      </c>
      <c r="Y20" s="223">
        <f ca="1">ABS(J79)/ABS(J20)-1</f>
        <v>0.29747295382139649</v>
      </c>
      <c r="Z20" s="223">
        <f ca="1">ABS(K79)/ABS(K20)-1</f>
        <v>2.9814381596930062E-2</v>
      </c>
      <c r="AA20" s="223">
        <f ca="1">ABS(L79)/ABS(L20)-1</f>
        <v>9.1115761205205814E-2</v>
      </c>
      <c r="AB20" s="223">
        <f ca="1">ABS(M79)/ABS(M20)-1</f>
        <v>-1.5599999999999947E-2</v>
      </c>
    </row>
    <row r="21" spans="2:28" x14ac:dyDescent="0.25">
      <c r="B21" s="193" t="s">
        <v>80</v>
      </c>
      <c r="C21" s="194" t="s">
        <v>99</v>
      </c>
      <c r="D21" s="194" t="s">
        <v>97</v>
      </c>
      <c r="E21" s="195">
        <v>-3291.1330162618019</v>
      </c>
      <c r="F21" s="204">
        <v>50375.941306407192</v>
      </c>
      <c r="G21" s="210"/>
      <c r="H21" s="210"/>
      <c r="I21" s="207">
        <v>1645.4241388276748</v>
      </c>
      <c r="J21" s="195">
        <v>28730.352867711896</v>
      </c>
      <c r="K21" s="195">
        <v>-13637.803513053588</v>
      </c>
      <c r="L21" s="195">
        <v>8932.2989496808077</v>
      </c>
      <c r="M21" s="195">
        <v>44207.30181105293</v>
      </c>
      <c r="N21" s="196"/>
      <c r="O21" s="202" t="s">
        <v>100</v>
      </c>
      <c r="Q21" s="244" t="s">
        <v>80</v>
      </c>
      <c r="R21" s="245" t="s">
        <v>99</v>
      </c>
      <c r="S21" s="245" t="s">
        <v>97</v>
      </c>
      <c r="T21" s="217">
        <f ca="1">ABS(E80)/ABS(E21)-1</f>
        <v>3.8745618335121801E-2</v>
      </c>
      <c r="U21" s="219">
        <f ca="1">ABS(F80)/ABS(F21)-1</f>
        <v>0.14129999999999998</v>
      </c>
      <c r="V21" s="230"/>
      <c r="W21" s="230"/>
      <c r="X21" s="221">
        <f ca="1">ABS(I80)/ABS(I21)-1</f>
        <v>6.9499999999999895E-2</v>
      </c>
      <c r="Y21" s="217">
        <f ca="1">ABS(J80)/ABS(J21)-1</f>
        <v>6.2158690963104668E-2</v>
      </c>
      <c r="Z21" s="217">
        <f ca="1">ABS(K80)/ABS(K21)-1</f>
        <v>0.29849911267891605</v>
      </c>
      <c r="AA21" s="217">
        <f ca="1">ABS(L80)/ABS(L21)-1</f>
        <v>1.5852699413318572E-2</v>
      </c>
      <c r="AB21" s="217">
        <f ca="1">ABS(M80)/ABS(M21)-1</f>
        <v>1.6499999999999959E-2</v>
      </c>
    </row>
    <row r="22" spans="2:28" x14ac:dyDescent="0.25">
      <c r="B22" s="193" t="s">
        <v>88</v>
      </c>
      <c r="C22" s="194" t="s">
        <v>96</v>
      </c>
      <c r="D22" s="194" t="s">
        <v>97</v>
      </c>
      <c r="E22" s="195">
        <v>-15846.034168382608</v>
      </c>
      <c r="F22" s="204">
        <v>-3696.1057181721335</v>
      </c>
      <c r="G22" s="210"/>
      <c r="H22" s="210"/>
      <c r="I22" s="207">
        <v>-6681.8618028036717</v>
      </c>
      <c r="J22" s="195">
        <v>-729.6772839018422</v>
      </c>
      <c r="K22" s="195">
        <v>-15668.401771533012</v>
      </c>
      <c r="L22" s="195">
        <v>-10708.284089221454</v>
      </c>
      <c r="M22" s="195">
        <v>-13606.521206895384</v>
      </c>
      <c r="N22" s="196"/>
      <c r="O22" s="196"/>
      <c r="Q22" s="244" t="s">
        <v>88</v>
      </c>
      <c r="R22" s="245" t="s">
        <v>96</v>
      </c>
      <c r="S22" s="245" t="s">
        <v>97</v>
      </c>
      <c r="T22" s="217">
        <f ca="1">ABS(E81)/ABS(E22)-1</f>
        <v>-2.5985664904953021E-2</v>
      </c>
      <c r="U22" s="219">
        <f ca="1">ABS(F81)/ABS(F22)-1</f>
        <v>9.0799999999999992E-2</v>
      </c>
      <c r="V22" s="230"/>
      <c r="W22" s="230"/>
      <c r="X22" s="221">
        <f ca="1">ABS(I81)/ABS(I22)-1</f>
        <v>-5.6000000000001604E-3</v>
      </c>
      <c r="Y22" s="217">
        <f ca="1">ABS(J81)/ABS(J22)-1</f>
        <v>0.23561472981429032</v>
      </c>
      <c r="Z22" s="217">
        <f ca="1">ABS(K81)/ABS(K22)-1</f>
        <v>8.7910363980004513E-2</v>
      </c>
      <c r="AA22" s="217">
        <f ca="1">ABS(L81)/ABS(L22)-1</f>
        <v>0.18546807558290257</v>
      </c>
      <c r="AB22" s="217">
        <f ca="1">ABS(M81)/ABS(M22)-1</f>
        <v>1.8500000000000183E-2</v>
      </c>
    </row>
    <row r="23" spans="2:28" x14ac:dyDescent="0.25">
      <c r="B23" s="193" t="s">
        <v>88</v>
      </c>
      <c r="C23" s="194" t="s">
        <v>99</v>
      </c>
      <c r="D23" s="194" t="s">
        <v>97</v>
      </c>
      <c r="E23" s="195">
        <v>442.75708929093702</v>
      </c>
      <c r="F23" s="204">
        <v>-33076.84530742879</v>
      </c>
      <c r="G23" s="210"/>
      <c r="H23" s="210"/>
      <c r="I23" s="207">
        <v>2823.7473983612576</v>
      </c>
      <c r="J23" s="195">
        <v>-20376.261882459763</v>
      </c>
      <c r="K23" s="195">
        <v>10505.672713495595</v>
      </c>
      <c r="L23" s="195">
        <v>-8827.1774899266402</v>
      </c>
      <c r="M23" s="195">
        <v>-26187.616734597592</v>
      </c>
      <c r="N23" s="196"/>
      <c r="O23" s="196"/>
      <c r="Q23" s="244" t="s">
        <v>88</v>
      </c>
      <c r="R23" s="245" t="s">
        <v>99</v>
      </c>
      <c r="S23" s="245" t="s">
        <v>97</v>
      </c>
      <c r="T23" s="217">
        <f ca="1">ABS(E82)/ABS(E23)-1</f>
        <v>8.3980384749141601E-2</v>
      </c>
      <c r="U23" s="219">
        <f ca="1">ABS(F82)/ABS(F23)-1</f>
        <v>7.0600000000000218E-2</v>
      </c>
      <c r="V23" s="230"/>
      <c r="W23" s="230"/>
      <c r="X23" s="221">
        <f ca="1">ABS(I82)/ABS(I23)-1</f>
        <v>-1.3000000000000012E-2</v>
      </c>
      <c r="Y23" s="217">
        <f ca="1">ABS(J82)/ABS(J23)-1</f>
        <v>4.7220691457181552E-3</v>
      </c>
      <c r="Z23" s="217">
        <f ca="1">ABS(K82)/ABS(K23)-1</f>
        <v>0.39858673819610213</v>
      </c>
      <c r="AA23" s="217">
        <f ca="1">ABS(L82)/ABS(L23)-1</f>
        <v>0.15650784315257282</v>
      </c>
      <c r="AB23" s="217">
        <f ca="1">ABS(M82)/ABS(M23)-1</f>
        <v>3.5499999999999865E-2</v>
      </c>
    </row>
    <row r="24" spans="2:28" x14ac:dyDescent="0.25">
      <c r="B24" s="193" t="s">
        <v>89</v>
      </c>
      <c r="C24" s="194" t="s">
        <v>101</v>
      </c>
      <c r="D24" s="194" t="s">
        <v>97</v>
      </c>
      <c r="E24" s="195">
        <v>-2428.567807078909</v>
      </c>
      <c r="F24" s="204">
        <v>3316.2585645539384</v>
      </c>
      <c r="G24" s="210"/>
      <c r="H24" s="210"/>
      <c r="I24" s="207">
        <v>58.398249502896711</v>
      </c>
      <c r="J24" s="195">
        <v>3293.7484372096778</v>
      </c>
      <c r="K24" s="195">
        <v>-3510.6126256724988</v>
      </c>
      <c r="L24" s="195">
        <v>-814.53068189650844</v>
      </c>
      <c r="M24" s="195">
        <v>9526.6240771076464</v>
      </c>
      <c r="N24" s="196"/>
      <c r="O24" s="196"/>
      <c r="Q24" s="244" t="s">
        <v>89</v>
      </c>
      <c r="R24" s="245" t="s">
        <v>101</v>
      </c>
      <c r="S24" s="245" t="s">
        <v>97</v>
      </c>
      <c r="T24" s="217">
        <f ca="1">ABS(E83)/ABS(E24)-1</f>
        <v>-6.0314589677968877E-3</v>
      </c>
      <c r="U24" s="219">
        <f ca="1">ABS(F83)/ABS(F24)-1</f>
        <v>7.0599999999999774E-2</v>
      </c>
      <c r="V24" s="230"/>
      <c r="W24" s="230"/>
      <c r="X24" s="221">
        <f ca="1">ABS(I83)/ABS(I24)-1</f>
        <v>2.4600000000000177E-2</v>
      </c>
      <c r="Y24" s="217">
        <f ca="1">ABS(J83)/ABS(J24)-1</f>
        <v>0.19615692427854725</v>
      </c>
      <c r="Z24" s="217">
        <f ca="1">ABS(K83)/ABS(K24)-1</f>
        <v>0.29255162463991846</v>
      </c>
      <c r="AA24" s="217">
        <f ca="1">ABS(L83)/ABS(L24)-1</f>
        <v>0.2675765602788962</v>
      </c>
      <c r="AB24" s="217">
        <f ca="1">ABS(M83)/ABS(M24)-1</f>
        <v>6.5599999999999881E-2</v>
      </c>
    </row>
    <row r="25" spans="2:28" ht="15.75" thickBot="1" x14ac:dyDescent="0.3">
      <c r="B25" s="197" t="s">
        <v>91</v>
      </c>
      <c r="C25" s="198" t="s">
        <v>102</v>
      </c>
      <c r="D25" s="198" t="s">
        <v>97</v>
      </c>
      <c r="E25" s="199">
        <v>-19237.723259575225</v>
      </c>
      <c r="F25" s="205">
        <v>-53130.281452932722</v>
      </c>
      <c r="G25" s="211"/>
      <c r="H25" s="211"/>
      <c r="I25" s="208">
        <v>-23302.276576246259</v>
      </c>
      <c r="J25" s="199">
        <v>-18232.442932358714</v>
      </c>
      <c r="K25" s="199">
        <v>-21557.732433775436</v>
      </c>
      <c r="L25" s="199">
        <v>-17332.434540525832</v>
      </c>
      <c r="M25" s="199">
        <v>-44428.812431033548</v>
      </c>
      <c r="N25" s="196"/>
      <c r="O25" s="196"/>
      <c r="Q25" s="251" t="s">
        <v>91</v>
      </c>
      <c r="R25" s="252" t="s">
        <v>102</v>
      </c>
      <c r="S25" s="252" t="s">
        <v>97</v>
      </c>
      <c r="T25" s="226">
        <f ca="1">ABS(E84)/ABS(E25)-1</f>
        <v>5.5816206831560633E-2</v>
      </c>
      <c r="U25" s="227">
        <f ca="1">ABS(F84)/ABS(F25)-1</f>
        <v>0.15139999999999998</v>
      </c>
      <c r="V25" s="231"/>
      <c r="W25" s="231"/>
      <c r="X25" s="228">
        <f ca="1">ABS(I84)/ABS(I25)-1</f>
        <v>-2.9900000000000149E-2</v>
      </c>
      <c r="Y25" s="226">
        <f ca="1">ABS(J84)/ABS(J25)-1</f>
        <v>0.26369516611010191</v>
      </c>
      <c r="Z25" s="226">
        <f ca="1">ABS(K84)/ABS(K25)-1</f>
        <v>0.10710120097091647</v>
      </c>
      <c r="AA25" s="226">
        <f ca="1">ABS(L84)/ABS(L25)-1</f>
        <v>0.14027258858468539</v>
      </c>
      <c r="AB25" s="226">
        <f ca="1">ABS(M84)/ABS(M25)-1</f>
        <v>9.6100000000000074E-2</v>
      </c>
    </row>
    <row r="26" spans="2:28" x14ac:dyDescent="0.25">
      <c r="B26" s="196"/>
      <c r="C26" s="196"/>
      <c r="D26" s="196"/>
      <c r="E26" s="196"/>
      <c r="F26" s="196"/>
      <c r="I26" s="196"/>
      <c r="J26" s="196"/>
      <c r="K26" s="196"/>
      <c r="L26" s="196"/>
      <c r="M26" s="196"/>
      <c r="N26" s="196"/>
      <c r="O26" s="196"/>
    </row>
    <row r="27" spans="2:28" ht="16.5" thickBot="1" x14ac:dyDescent="0.3">
      <c r="B27" s="200" t="s">
        <v>118</v>
      </c>
      <c r="C27" s="200"/>
      <c r="D27" s="200"/>
      <c r="E27" s="196"/>
      <c r="F27" s="196"/>
      <c r="I27" s="196"/>
      <c r="J27" s="196"/>
      <c r="K27" s="196"/>
      <c r="L27" s="196"/>
      <c r="M27" s="196"/>
      <c r="N27" s="196"/>
      <c r="O27" s="196"/>
    </row>
    <row r="28" spans="2:28" x14ac:dyDescent="0.25">
      <c r="B28" s="190" t="s">
        <v>80</v>
      </c>
      <c r="C28" s="191" t="s">
        <v>101</v>
      </c>
      <c r="D28" s="191" t="s">
        <v>97</v>
      </c>
      <c r="E28" s="192">
        <v>36858.129611202727</v>
      </c>
      <c r="F28" s="203">
        <v>77166.783224128638</v>
      </c>
      <c r="G28" s="209"/>
      <c r="H28" s="209"/>
      <c r="I28" s="206">
        <v>8845.3172057479987</v>
      </c>
      <c r="J28" s="192">
        <v>39921.011575800308</v>
      </c>
      <c r="K28" s="192">
        <v>22647.917304362913</v>
      </c>
      <c r="L28" s="192">
        <v>41283.739353771023</v>
      </c>
      <c r="M28" s="192">
        <v>62559.735945503548</v>
      </c>
      <c r="N28" s="196"/>
      <c r="O28" s="196"/>
    </row>
    <row r="29" spans="2:28" ht="15.75" thickBot="1" x14ac:dyDescent="0.3">
      <c r="B29" s="197" t="s">
        <v>88</v>
      </c>
      <c r="C29" s="198" t="s">
        <v>101</v>
      </c>
      <c r="D29" s="198" t="s">
        <v>97</v>
      </c>
      <c r="E29" s="199">
        <v>15527.149129205151</v>
      </c>
      <c r="F29" s="205">
        <v>35853.67546738041</v>
      </c>
      <c r="G29" s="211"/>
      <c r="H29" s="211"/>
      <c r="I29" s="208">
        <v>5018.8468555276886</v>
      </c>
      <c r="J29" s="199">
        <v>20912.703880177422</v>
      </c>
      <c r="K29" s="199">
        <v>10795.642826182513</v>
      </c>
      <c r="L29" s="199">
        <v>18166.304857186929</v>
      </c>
      <c r="M29" s="199">
        <v>37269.093771274333</v>
      </c>
      <c r="N29" s="196"/>
      <c r="O29" s="196"/>
    </row>
    <row r="32" spans="2:28" ht="15.75" thickBot="1" x14ac:dyDescent="0.3"/>
    <row r="33" spans="2:28" ht="15.75" thickBot="1" x14ac:dyDescent="0.3">
      <c r="B33" s="212" t="s">
        <v>124</v>
      </c>
      <c r="C33" s="212"/>
      <c r="D33" s="212"/>
      <c r="Q33" s="233" t="s">
        <v>133</v>
      </c>
      <c r="R33" s="234"/>
      <c r="S33" s="234"/>
      <c r="T33" s="235"/>
      <c r="U33" s="235"/>
      <c r="V33" s="236"/>
      <c r="W33" s="236"/>
      <c r="X33" s="235"/>
      <c r="Y33" s="235"/>
      <c r="Z33" s="235"/>
      <c r="AA33" s="235"/>
      <c r="AB33" s="237"/>
    </row>
    <row r="34" spans="2:28" ht="39.75" customHeight="1" thickBot="1" x14ac:dyDescent="0.3">
      <c r="E34" s="215" t="s">
        <v>23</v>
      </c>
      <c r="F34" s="215" t="s">
        <v>24</v>
      </c>
      <c r="G34" s="215" t="s">
        <v>120</v>
      </c>
      <c r="H34" s="215" t="s">
        <v>121</v>
      </c>
      <c r="I34" s="215" t="s">
        <v>76</v>
      </c>
      <c r="J34" s="215" t="s">
        <v>77</v>
      </c>
      <c r="K34" s="215" t="s">
        <v>78</v>
      </c>
      <c r="L34" s="215" t="s">
        <v>79</v>
      </c>
      <c r="M34" s="215" t="s">
        <v>31</v>
      </c>
      <c r="Q34" s="238"/>
      <c r="R34" s="239"/>
      <c r="S34" s="239"/>
      <c r="T34" s="215" t="s">
        <v>23</v>
      </c>
      <c r="U34" s="215" t="s">
        <v>24</v>
      </c>
      <c r="V34" s="216" t="s">
        <v>120</v>
      </c>
      <c r="W34" s="216" t="s">
        <v>121</v>
      </c>
      <c r="X34" s="215" t="s">
        <v>76</v>
      </c>
      <c r="Y34" s="215" t="s">
        <v>77</v>
      </c>
      <c r="Z34" s="215" t="s">
        <v>78</v>
      </c>
      <c r="AA34" s="215" t="s">
        <v>79</v>
      </c>
      <c r="AB34" s="215" t="s">
        <v>31</v>
      </c>
    </row>
    <row r="35" spans="2:28" ht="16.5" thickBot="1" x14ac:dyDescent="0.3">
      <c r="B35" s="151" t="s">
        <v>95</v>
      </c>
      <c r="C35" s="151"/>
      <c r="D35" s="151"/>
      <c r="Q35" s="265" t="s">
        <v>95</v>
      </c>
      <c r="R35" s="266"/>
      <c r="S35" s="266"/>
      <c r="T35" s="241"/>
      <c r="U35" s="241"/>
      <c r="V35" s="160"/>
      <c r="W35" s="160"/>
      <c r="X35" s="241"/>
      <c r="Y35" s="241"/>
      <c r="Z35" s="241"/>
      <c r="AA35" s="241"/>
      <c r="AB35" s="242"/>
    </row>
    <row r="36" spans="2:28" x14ac:dyDescent="0.25">
      <c r="B36" s="56" t="s">
        <v>80</v>
      </c>
      <c r="C36" s="136" t="s">
        <v>96</v>
      </c>
      <c r="D36" s="136" t="s">
        <v>97</v>
      </c>
      <c r="E36" s="138">
        <v>24009.172518734773</v>
      </c>
      <c r="F36" s="138">
        <v>14946.453197271419</v>
      </c>
      <c r="G36" s="138">
        <v>2807.5403845729734</v>
      </c>
      <c r="H36" s="138">
        <v>11136.243051338679</v>
      </c>
      <c r="I36" s="138">
        <f ca="1">I5*RANDBETWEEN(104,122)/100</f>
        <v>-7515.3870516758579</v>
      </c>
      <c r="J36" s="138">
        <f ca="1">J5*RANDBETWEEN(104,122)/100</f>
        <v>7073.4202867004033</v>
      </c>
      <c r="K36" s="138">
        <f ca="1">K5*RANDBETWEEN(103,118)/100</f>
        <v>16227.427683267169</v>
      </c>
      <c r="L36" s="138">
        <f ca="1">L5*RANDBETWEEN(103,118)/100</f>
        <v>30148.863662987667</v>
      </c>
      <c r="M36" s="138">
        <f ca="1">M5*RANDBETWEEN(87,90)/100</f>
        <v>10348.25545464342</v>
      </c>
      <c r="Q36" s="267" t="s">
        <v>80</v>
      </c>
      <c r="R36" s="268" t="s">
        <v>96</v>
      </c>
      <c r="S36" s="269" t="s">
        <v>97</v>
      </c>
      <c r="T36" s="253">
        <f ca="1">ABS(E66)/ABS(E36)-1</f>
        <v>0.10999999999999988</v>
      </c>
      <c r="U36" s="254">
        <f t="shared" ref="U36:AB41" ca="1" si="2">ABS(F66)/ABS(F36)-1</f>
        <v>6.999999999999984E-2</v>
      </c>
      <c r="V36" s="255">
        <f t="shared" ca="1" si="2"/>
        <v>0.12000000000000011</v>
      </c>
      <c r="W36" s="255">
        <f t="shared" ca="1" si="2"/>
        <v>6.0000000000000053E-2</v>
      </c>
      <c r="X36" s="256">
        <f t="shared" ca="1" si="2"/>
        <v>7.0000000000000062E-2</v>
      </c>
      <c r="Y36" s="253">
        <f t="shared" ca="1" si="2"/>
        <v>0.13000000000000012</v>
      </c>
      <c r="Z36" s="253">
        <f t="shared" ca="1" si="2"/>
        <v>0.13000000000000012</v>
      </c>
      <c r="AA36" s="253">
        <f t="shared" ca="1" si="2"/>
        <v>0.1399999999999999</v>
      </c>
      <c r="AB36" s="253">
        <f t="shared" ca="1" si="2"/>
        <v>5.0000000000000044E-2</v>
      </c>
    </row>
    <row r="37" spans="2:28" x14ac:dyDescent="0.25">
      <c r="B37" s="94" t="s">
        <v>80</v>
      </c>
      <c r="C37" s="129" t="s">
        <v>99</v>
      </c>
      <c r="D37" s="129" t="s">
        <v>97</v>
      </c>
      <c r="E37" s="142">
        <v>-14958.893879533874</v>
      </c>
      <c r="F37" s="142">
        <v>16827.676329599522</v>
      </c>
      <c r="G37" s="142">
        <v>-15015.339356585451</v>
      </c>
      <c r="H37" s="142">
        <v>-7418.9985812119548</v>
      </c>
      <c r="I37" s="142">
        <f t="shared" ref="I37:J41" ca="1" si="3">I6*RANDBETWEEN(104,122)/100</f>
        <v>-6164.7195563921168</v>
      </c>
      <c r="J37" s="142">
        <f t="shared" ca="1" si="3"/>
        <v>7900.771349995689</v>
      </c>
      <c r="K37" s="142">
        <f t="shared" ref="K37:L41" ca="1" si="4">K6*RANDBETWEEN(103,118)/100</f>
        <v>-21180.667153177306</v>
      </c>
      <c r="L37" s="142">
        <f t="shared" ca="1" si="4"/>
        <v>-10146.141183886359</v>
      </c>
      <c r="M37" s="142">
        <f t="shared" ref="M37:M41" ca="1" si="5">M6*RANDBETWEEN(87,90)/100</f>
        <v>11391.55728876319</v>
      </c>
      <c r="Q37" s="244" t="s">
        <v>80</v>
      </c>
      <c r="R37" s="245" t="s">
        <v>99</v>
      </c>
      <c r="S37" s="270" t="s">
        <v>97</v>
      </c>
      <c r="T37" s="257">
        <f t="shared" ref="T37:T41" ca="1" si="6">ABS(E67)/ABS(E37)-1</f>
        <v>0.11999999999999988</v>
      </c>
      <c r="U37" s="258">
        <f t="shared" ca="1" si="2"/>
        <v>5.0000000000000044E-2</v>
      </c>
      <c r="V37" s="259">
        <f t="shared" ca="1" si="2"/>
        <v>8.0000000000000071E-2</v>
      </c>
      <c r="W37" s="259">
        <f t="shared" ca="1" si="2"/>
        <v>0.1100000000000001</v>
      </c>
      <c r="X37" s="260">
        <f t="shared" ca="1" si="2"/>
        <v>0.13000000000000012</v>
      </c>
      <c r="Y37" s="257">
        <f t="shared" ca="1" si="2"/>
        <v>0.14999999999999991</v>
      </c>
      <c r="Z37" s="257">
        <f t="shared" ca="1" si="2"/>
        <v>6.0000000000000053E-2</v>
      </c>
      <c r="AA37" s="257">
        <f t="shared" ca="1" si="2"/>
        <v>0.10999999999999988</v>
      </c>
      <c r="AB37" s="257">
        <f t="shared" ca="1" si="2"/>
        <v>0.12000000000000011</v>
      </c>
    </row>
    <row r="38" spans="2:28" x14ac:dyDescent="0.25">
      <c r="B38" s="94" t="s">
        <v>88</v>
      </c>
      <c r="C38" s="129" t="s">
        <v>96</v>
      </c>
      <c r="D38" s="129" t="s">
        <v>97</v>
      </c>
      <c r="E38" s="142">
        <v>-14114.375073310897</v>
      </c>
      <c r="F38" s="142">
        <v>-1969.882611582731</v>
      </c>
      <c r="G38" s="142">
        <v>-421.26910038892009</v>
      </c>
      <c r="H38" s="142">
        <v>-5499.9438586153765</v>
      </c>
      <c r="I38" s="142">
        <f t="shared" ca="1" si="3"/>
        <v>5418.083331035079</v>
      </c>
      <c r="J38" s="142">
        <f t="shared" ca="1" si="3"/>
        <v>-2223.2695167326983</v>
      </c>
      <c r="K38" s="142">
        <f t="shared" ca="1" si="4"/>
        <v>-8951.9441346536769</v>
      </c>
      <c r="L38" s="142">
        <f t="shared" ca="1" si="4"/>
        <v>-15330.236408861214</v>
      </c>
      <c r="M38" s="142">
        <f t="shared" ca="1" si="5"/>
        <v>-1333.5211861087332</v>
      </c>
      <c r="Q38" s="244" t="s">
        <v>88</v>
      </c>
      <c r="R38" s="245" t="s">
        <v>96</v>
      </c>
      <c r="S38" s="270" t="s">
        <v>97</v>
      </c>
      <c r="T38" s="257">
        <f t="shared" ca="1" si="6"/>
        <v>6.0000000000000053E-2</v>
      </c>
      <c r="U38" s="258">
        <f t="shared" ca="1" si="2"/>
        <v>8.0000000000000071E-2</v>
      </c>
      <c r="V38" s="259">
        <f t="shared" ca="1" si="2"/>
        <v>0.13000000000000012</v>
      </c>
      <c r="W38" s="259">
        <f t="shared" ca="1" si="2"/>
        <v>0.14999999999999991</v>
      </c>
      <c r="X38" s="260">
        <f t="shared" ca="1" si="2"/>
        <v>7.0000000000000062E-2</v>
      </c>
      <c r="Y38" s="257">
        <f t="shared" ca="1" si="2"/>
        <v>0.14000000000000012</v>
      </c>
      <c r="Z38" s="257">
        <f t="shared" ca="1" si="2"/>
        <v>0.14999999999999991</v>
      </c>
      <c r="AA38" s="257">
        <f t="shared" ca="1" si="2"/>
        <v>5.0000000000000044E-2</v>
      </c>
      <c r="AB38" s="257">
        <f t="shared" ca="1" si="2"/>
        <v>0.12000000000000011</v>
      </c>
    </row>
    <row r="39" spans="2:28" x14ac:dyDescent="0.25">
      <c r="B39" s="94" t="s">
        <v>88</v>
      </c>
      <c r="C39" s="129" t="s">
        <v>99</v>
      </c>
      <c r="D39" s="129" t="s">
        <v>97</v>
      </c>
      <c r="E39" s="142">
        <v>7734.9906748489357</v>
      </c>
      <c r="F39" s="142">
        <v>-1851.5734698898664</v>
      </c>
      <c r="G39" s="142">
        <v>8101.0071330668516</v>
      </c>
      <c r="H39" s="142">
        <v>4663.540288621939</v>
      </c>
      <c r="I39" s="142">
        <f t="shared" ca="1" si="3"/>
        <v>3847.5445964538267</v>
      </c>
      <c r="J39" s="142">
        <f t="shared" ca="1" si="3"/>
        <v>-1634.0867516029539</v>
      </c>
      <c r="K39" s="142">
        <f t="shared" ca="1" si="4"/>
        <v>11205.854956653695</v>
      </c>
      <c r="L39" s="142">
        <f t="shared" ca="1" si="4"/>
        <v>6342.5901364281553</v>
      </c>
      <c r="M39" s="142">
        <f t="shared" ca="1" si="5"/>
        <v>-1267.6842127776906</v>
      </c>
      <c r="Q39" s="244" t="s">
        <v>88</v>
      </c>
      <c r="R39" s="245" t="s">
        <v>99</v>
      </c>
      <c r="S39" s="270" t="s">
        <v>97</v>
      </c>
      <c r="T39" s="257">
        <f t="shared" ca="1" si="6"/>
        <v>7.0000000000000062E-2</v>
      </c>
      <c r="U39" s="258">
        <f t="shared" ca="1" si="2"/>
        <v>6.0000000000000053E-2</v>
      </c>
      <c r="V39" s="259">
        <f t="shared" ca="1" si="2"/>
        <v>0.1399999999999999</v>
      </c>
      <c r="W39" s="259">
        <f t="shared" ca="1" si="2"/>
        <v>0.15000000000000013</v>
      </c>
      <c r="X39" s="260">
        <f t="shared" ca="1" si="2"/>
        <v>7.0000000000000062E-2</v>
      </c>
      <c r="Y39" s="257">
        <f t="shared" ca="1" si="2"/>
        <v>4.9999999999999822E-2</v>
      </c>
      <c r="Z39" s="257">
        <f t="shared" ca="1" si="2"/>
        <v>0.14999999999999991</v>
      </c>
      <c r="AA39" s="257">
        <f t="shared" ca="1" si="2"/>
        <v>0.12999999999999989</v>
      </c>
      <c r="AB39" s="257">
        <f t="shared" ca="1" si="2"/>
        <v>9.9999999999999867E-2</v>
      </c>
    </row>
    <row r="40" spans="2:28" x14ac:dyDescent="0.25">
      <c r="B40" s="94" t="s">
        <v>89</v>
      </c>
      <c r="C40" s="129" t="s">
        <v>101</v>
      </c>
      <c r="D40" s="129" t="s">
        <v>97</v>
      </c>
      <c r="E40" s="142">
        <v>4614.0417386495328</v>
      </c>
      <c r="F40" s="142">
        <v>-1957.0963840598142</v>
      </c>
      <c r="G40" s="142">
        <v>4364.9092227101355</v>
      </c>
      <c r="H40" s="142">
        <v>2572.5238730281981</v>
      </c>
      <c r="I40" s="142">
        <f t="shared" ca="1" si="3"/>
        <v>1872.2385675705737</v>
      </c>
      <c r="J40" s="142">
        <f t="shared" ca="1" si="3"/>
        <v>-1071.589927073147</v>
      </c>
      <c r="K40" s="142">
        <f t="shared" ca="1" si="4"/>
        <v>6335.3336134325864</v>
      </c>
      <c r="L40" s="142">
        <f t="shared" ca="1" si="4"/>
        <v>3688.0709008709237</v>
      </c>
      <c r="M40" s="142">
        <f t="shared" ca="1" si="5"/>
        <v>-1309.8247466360028</v>
      </c>
      <c r="Q40" s="244" t="s">
        <v>89</v>
      </c>
      <c r="R40" s="245" t="s">
        <v>101</v>
      </c>
      <c r="S40" s="270" t="s">
        <v>97</v>
      </c>
      <c r="T40" s="257">
        <f t="shared" ca="1" si="6"/>
        <v>0.14999999999999991</v>
      </c>
      <c r="U40" s="258">
        <f t="shared" ca="1" si="2"/>
        <v>8.0000000000000071E-2</v>
      </c>
      <c r="V40" s="259">
        <f t="shared" ca="1" si="2"/>
        <v>0.1399999999999999</v>
      </c>
      <c r="W40" s="259">
        <f t="shared" ca="1" si="2"/>
        <v>0.1100000000000001</v>
      </c>
      <c r="X40" s="260">
        <f t="shared" ca="1" si="2"/>
        <v>7.0000000000000062E-2</v>
      </c>
      <c r="Y40" s="257">
        <f t="shared" ca="1" si="2"/>
        <v>0.13000000000000012</v>
      </c>
      <c r="Z40" s="257">
        <f t="shared" ca="1" si="2"/>
        <v>6.999999999999984E-2</v>
      </c>
      <c r="AA40" s="257">
        <f t="shared" ca="1" si="2"/>
        <v>5.0000000000000044E-2</v>
      </c>
      <c r="AB40" s="257">
        <f t="shared" ca="1" si="2"/>
        <v>0.12000000000000011</v>
      </c>
    </row>
    <row r="41" spans="2:28" ht="15.75" thickBot="1" x14ac:dyDescent="0.3">
      <c r="B41" s="143" t="s">
        <v>91</v>
      </c>
      <c r="C41" s="144" t="s">
        <v>102</v>
      </c>
      <c r="D41" s="144" t="s">
        <v>97</v>
      </c>
      <c r="E41" s="146">
        <v>-10859</v>
      </c>
      <c r="F41" s="146">
        <v>-28938.810781787492</v>
      </c>
      <c r="G41" s="146">
        <v>-23792.57097420327</v>
      </c>
      <c r="H41" s="146">
        <v>-11658.349431034396</v>
      </c>
      <c r="I41" s="146">
        <f t="shared" ca="1" si="3"/>
        <v>-18500.613426091535</v>
      </c>
      <c r="J41" s="146">
        <f t="shared" ca="1" si="3"/>
        <v>-5252.4636253932231</v>
      </c>
      <c r="K41" s="146">
        <f t="shared" ca="1" si="4"/>
        <v>-17950.338989614473</v>
      </c>
      <c r="L41" s="146">
        <f t="shared" ca="1" si="4"/>
        <v>-6803.2096899163898</v>
      </c>
      <c r="M41" s="146">
        <f t="shared" ca="1" si="5"/>
        <v>-19367.659491097791</v>
      </c>
      <c r="Q41" s="251" t="s">
        <v>91</v>
      </c>
      <c r="R41" s="252" t="s">
        <v>102</v>
      </c>
      <c r="S41" s="271" t="s">
        <v>97</v>
      </c>
      <c r="T41" s="261">
        <f t="shared" ca="1" si="6"/>
        <v>5.0000000000000044E-2</v>
      </c>
      <c r="U41" s="262">
        <f t="shared" ca="1" si="2"/>
        <v>0.10000000000000009</v>
      </c>
      <c r="V41" s="263">
        <f t="shared" ca="1" si="2"/>
        <v>0.12000000000000011</v>
      </c>
      <c r="W41" s="263">
        <f t="shared" ca="1" si="2"/>
        <v>7.0000000000000062E-2</v>
      </c>
      <c r="X41" s="264">
        <f t="shared" ca="1" si="2"/>
        <v>6.0000000000000053E-2</v>
      </c>
      <c r="Y41" s="261">
        <f t="shared" ca="1" si="2"/>
        <v>0.1399999999999999</v>
      </c>
      <c r="Z41" s="261">
        <f t="shared" ca="1" si="2"/>
        <v>0.11999999999999988</v>
      </c>
      <c r="AA41" s="261">
        <f t="shared" ca="1" si="2"/>
        <v>0.14000000000000012</v>
      </c>
      <c r="AB41" s="261">
        <f t="shared" ca="1" si="2"/>
        <v>0.10000000000000009</v>
      </c>
    </row>
    <row r="42" spans="2:28" x14ac:dyDescent="0.25">
      <c r="Q42" s="247"/>
      <c r="R42" s="2"/>
      <c r="S42" s="2"/>
      <c r="T42" s="2"/>
      <c r="U42" s="2"/>
      <c r="V42" s="160"/>
      <c r="W42" s="160"/>
      <c r="X42" s="2"/>
      <c r="Y42" s="2"/>
      <c r="Z42" s="2"/>
      <c r="AA42" s="2"/>
      <c r="AB42" s="248"/>
    </row>
    <row r="43" spans="2:28" ht="15.75" x14ac:dyDescent="0.25">
      <c r="B43" s="151" t="s">
        <v>103</v>
      </c>
      <c r="C43" s="151"/>
      <c r="D43" s="151"/>
      <c r="Q43" s="247"/>
      <c r="R43" s="2"/>
      <c r="S43" s="2"/>
      <c r="T43" s="2"/>
      <c r="U43" s="2"/>
      <c r="V43" s="160"/>
      <c r="W43" s="160"/>
      <c r="X43" s="2"/>
      <c r="Y43" s="2"/>
      <c r="Z43" s="2"/>
      <c r="AA43" s="2"/>
      <c r="AB43" s="248"/>
    </row>
    <row r="44" spans="2:28" x14ac:dyDescent="0.25">
      <c r="B44" s="56" t="s">
        <v>80</v>
      </c>
      <c r="C44" s="136" t="s">
        <v>101</v>
      </c>
      <c r="D44" s="136" t="s">
        <v>97</v>
      </c>
      <c r="E44" s="138">
        <v>21848.444344759217</v>
      </c>
      <c r="F44" s="138">
        <v>27067.980091644244</v>
      </c>
      <c r="G44" s="138">
        <v>13980.14780266956</v>
      </c>
      <c r="H44" s="138">
        <v>10236.395845811356</v>
      </c>
      <c r="I44" s="138">
        <v>11960.590843440637</v>
      </c>
      <c r="J44" s="138">
        <v>15226.697202624082</v>
      </c>
      <c r="K44" s="138">
        <v>18608.952682072384</v>
      </c>
      <c r="L44" s="138">
        <v>22917.3247753092</v>
      </c>
      <c r="M44" s="138">
        <v>17381.701464047786</v>
      </c>
      <c r="Q44" s="247"/>
      <c r="R44" s="2"/>
      <c r="S44" s="2"/>
      <c r="T44" s="2"/>
      <c r="U44" s="2"/>
      <c r="V44" s="160"/>
      <c r="W44" s="160"/>
      <c r="X44" s="2"/>
      <c r="Y44" s="2"/>
      <c r="Z44" s="2"/>
      <c r="AA44" s="2"/>
      <c r="AB44" s="248"/>
    </row>
    <row r="45" spans="2:28" x14ac:dyDescent="0.25">
      <c r="B45" s="143" t="s">
        <v>88</v>
      </c>
      <c r="C45" s="144" t="s">
        <v>101</v>
      </c>
      <c r="D45" s="144" t="s">
        <v>97</v>
      </c>
      <c r="E45" s="146">
        <v>12368.754957880765</v>
      </c>
      <c r="F45" s="146">
        <v>3294.2756170023181</v>
      </c>
      <c r="G45" s="146">
        <v>7904.9556111063957</v>
      </c>
      <c r="H45" s="146">
        <v>5203.9040731782334</v>
      </c>
      <c r="I45" s="146">
        <v>8080.443931259284</v>
      </c>
      <c r="J45" s="146">
        <v>4922.0388844802928</v>
      </c>
      <c r="K45" s="146">
        <v>9402.5629492229418</v>
      </c>
      <c r="L45" s="146">
        <v>12584.269433956029</v>
      </c>
      <c r="M45" s="146">
        <v>2115.4356544608017</v>
      </c>
      <c r="Q45" s="247"/>
      <c r="R45" s="2"/>
      <c r="S45" s="2"/>
      <c r="T45" s="2"/>
      <c r="U45" s="2"/>
      <c r="V45" s="160"/>
      <c r="W45" s="160"/>
      <c r="X45" s="2"/>
      <c r="Y45" s="2"/>
      <c r="Z45" s="2"/>
      <c r="AA45" s="2"/>
      <c r="AB45" s="248"/>
    </row>
    <row r="46" spans="2:28" x14ac:dyDescent="0.25">
      <c r="Q46" s="247"/>
      <c r="R46" s="2"/>
      <c r="S46" s="2"/>
      <c r="T46" s="2"/>
      <c r="U46" s="2"/>
      <c r="V46" s="160"/>
      <c r="W46" s="160"/>
      <c r="X46" s="2"/>
      <c r="Y46" s="2"/>
      <c r="Z46" s="2"/>
      <c r="AA46" s="2"/>
      <c r="AB46" s="248"/>
    </row>
    <row r="47" spans="2:28" x14ac:dyDescent="0.25">
      <c r="Q47" s="247"/>
      <c r="R47" s="2"/>
      <c r="S47" s="2"/>
      <c r="T47" s="2"/>
      <c r="U47" s="2"/>
      <c r="V47" s="160"/>
      <c r="W47" s="160"/>
      <c r="X47" s="2"/>
      <c r="Y47" s="2"/>
      <c r="Z47" s="2"/>
      <c r="AA47" s="2"/>
      <c r="AB47" s="248"/>
    </row>
    <row r="48" spans="2:28" ht="15.75" thickBot="1" x14ac:dyDescent="0.3">
      <c r="B48" s="213" t="s">
        <v>125</v>
      </c>
      <c r="C48" s="213"/>
      <c r="D48" s="213"/>
      <c r="Q48" s="249" t="s">
        <v>134</v>
      </c>
      <c r="R48" s="250"/>
      <c r="S48" s="250"/>
      <c r="T48" s="2"/>
      <c r="U48" s="2"/>
      <c r="V48" s="160"/>
      <c r="W48" s="160"/>
      <c r="X48" s="2"/>
      <c r="Y48" s="2"/>
      <c r="Z48" s="2"/>
      <c r="AA48" s="2"/>
      <c r="AB48" s="248"/>
    </row>
    <row r="49" spans="2:28" ht="30.75" thickBot="1" x14ac:dyDescent="0.3">
      <c r="E49" s="215" t="s">
        <v>23</v>
      </c>
      <c r="F49" s="215" t="s">
        <v>24</v>
      </c>
      <c r="G49" s="215" t="s">
        <v>120</v>
      </c>
      <c r="H49" s="215" t="s">
        <v>121</v>
      </c>
      <c r="I49" s="215" t="s">
        <v>76</v>
      </c>
      <c r="J49" s="215" t="s">
        <v>77</v>
      </c>
      <c r="K49" s="215" t="s">
        <v>78</v>
      </c>
      <c r="L49" s="215" t="s">
        <v>79</v>
      </c>
      <c r="M49" s="215" t="s">
        <v>31</v>
      </c>
      <c r="Q49" s="247"/>
      <c r="R49" s="2"/>
      <c r="S49" s="2"/>
      <c r="T49" s="215" t="s">
        <v>23</v>
      </c>
      <c r="U49" s="215" t="s">
        <v>24</v>
      </c>
      <c r="V49" s="216" t="s">
        <v>120</v>
      </c>
      <c r="W49" s="216" t="s">
        <v>121</v>
      </c>
      <c r="X49" s="215" t="s">
        <v>76</v>
      </c>
      <c r="Y49" s="215" t="s">
        <v>77</v>
      </c>
      <c r="Z49" s="215" t="s">
        <v>78</v>
      </c>
      <c r="AA49" s="215" t="s">
        <v>79</v>
      </c>
      <c r="AB49" s="215" t="s">
        <v>31</v>
      </c>
    </row>
    <row r="50" spans="2:28" ht="16.5" thickBot="1" x14ac:dyDescent="0.3">
      <c r="B50" s="151" t="s">
        <v>95</v>
      </c>
      <c r="C50" s="151"/>
      <c r="D50" s="151"/>
      <c r="Q50" s="265" t="s">
        <v>95</v>
      </c>
      <c r="R50" s="266"/>
      <c r="S50" s="266"/>
      <c r="T50" s="241"/>
      <c r="U50" s="241"/>
      <c r="V50" s="160"/>
      <c r="W50" s="160"/>
      <c r="X50" s="241"/>
      <c r="Y50" s="241"/>
      <c r="Z50" s="241"/>
      <c r="AA50" s="241"/>
      <c r="AB50" s="242"/>
    </row>
    <row r="51" spans="2:28" x14ac:dyDescent="0.25">
      <c r="B51" s="56" t="s">
        <v>80</v>
      </c>
      <c r="C51" s="136" t="s">
        <v>96</v>
      </c>
      <c r="D51" s="136" t="s">
        <v>97</v>
      </c>
      <c r="E51" s="138">
        <v>30527.077437743694</v>
      </c>
      <c r="F51" s="138">
        <f>F20*1.01</f>
        <v>34554.659946974418</v>
      </c>
      <c r="G51" s="138">
        <v>23995.559831768875</v>
      </c>
      <c r="H51" s="138">
        <v>-28688.25502692696</v>
      </c>
      <c r="I51" s="138">
        <f ca="1">I20*RANDBETWEEN(87,98)/100</f>
        <v>6839.1809074320272</v>
      </c>
      <c r="J51" s="138">
        <v>16759</v>
      </c>
      <c r="K51" s="138">
        <v>27945.465822562343</v>
      </c>
      <c r="L51" s="138">
        <v>33406.013380827098</v>
      </c>
      <c r="M51" s="138">
        <f ca="1">M20*RANDBETWEEN(90,98)/100</f>
        <v>22084.424322712013</v>
      </c>
      <c r="Q51" s="267" t="s">
        <v>80</v>
      </c>
      <c r="R51" s="268" t="s">
        <v>96</v>
      </c>
      <c r="S51" s="269" t="s">
        <v>97</v>
      </c>
      <c r="T51" s="253">
        <f ca="1">ABS(E79)/ABS(E51)-1</f>
        <v>6.0000000000000053E-2</v>
      </c>
      <c r="U51" s="253">
        <f ca="1">ABS(F79)/ABS(F51)-1</f>
        <v>0.12000000000000011</v>
      </c>
      <c r="V51" s="253">
        <f ca="1">ABS(G79)/ABS(G51)-1</f>
        <v>4.9999999999999822E-2</v>
      </c>
      <c r="W51" s="253">
        <f ca="1">ABS(H79)/ABS(H51)-1</f>
        <v>0.14999999999999991</v>
      </c>
      <c r="X51" s="253">
        <f ca="1">ABS(I79)/ABS(I51)-1</f>
        <v>9.000000000000008E-2</v>
      </c>
      <c r="Y51" s="253">
        <f ca="1">ABS(J79)/ABS(J51)-1</f>
        <v>0.1399999999999999</v>
      </c>
      <c r="Z51" s="253">
        <f ca="1">ABS(K79)/ABS(K51)-1</f>
        <v>6.999999999999984E-2</v>
      </c>
      <c r="AA51" s="253">
        <f ca="1">ABS(L79)/ABS(L51)-1</f>
        <v>0.14000000000000012</v>
      </c>
      <c r="AB51" s="253">
        <f ca="1">ABS(M79)/ABS(M51)-1</f>
        <v>7.0000000000000062E-2</v>
      </c>
    </row>
    <row r="52" spans="2:28" x14ac:dyDescent="0.25">
      <c r="B52" s="94" t="s">
        <v>80</v>
      </c>
      <c r="C52" s="129" t="s">
        <v>99</v>
      </c>
      <c r="D52" s="129" t="s">
        <v>97</v>
      </c>
      <c r="E52" s="142">
        <v>-3195</v>
      </c>
      <c r="F52" s="142">
        <f t="shared" ref="F52:F56" si="7">F21*1.01</f>
        <v>50879.700719471264</v>
      </c>
      <c r="G52" s="142">
        <v>-7980.7938415235358</v>
      </c>
      <c r="H52" s="142">
        <v>-22885.255419715115</v>
      </c>
      <c r="I52" s="142">
        <f t="shared" ref="I52:I56" ca="1" si="8">I21*RANDBETWEEN(87,98)/100</f>
        <v>1530.2444491097374</v>
      </c>
      <c r="J52" s="142">
        <v>27492.0666602495</v>
      </c>
      <c r="K52" s="142">
        <v>-16550.164262233167</v>
      </c>
      <c r="L52" s="142">
        <v>8249</v>
      </c>
      <c r="M52" s="142">
        <f t="shared" ref="M52:M56" ca="1" si="9">M21*RANDBETWEEN(90,98)/100</f>
        <v>41996.936720500278</v>
      </c>
      <c r="Q52" s="244" t="s">
        <v>80</v>
      </c>
      <c r="R52" s="245" t="s">
        <v>99</v>
      </c>
      <c r="S52" s="270" t="s">
        <v>97</v>
      </c>
      <c r="T52" s="257">
        <f ca="1">ABS(E80)/ABS(E52)-1</f>
        <v>7.0000000000000062E-2</v>
      </c>
      <c r="U52" s="257">
        <f ca="1">ABS(F80)/ABS(F52)-1</f>
        <v>0.12999999999999989</v>
      </c>
      <c r="V52" s="257">
        <f ca="1">ABS(G80)/ABS(G52)-1</f>
        <v>8.9999999999999858E-2</v>
      </c>
      <c r="W52" s="257">
        <f ca="1">ABS(H80)/ABS(H52)-1</f>
        <v>0.14999999999999991</v>
      </c>
      <c r="X52" s="257">
        <f ca="1">ABS(I80)/ABS(I52)-1</f>
        <v>0.15000000000000013</v>
      </c>
      <c r="Y52" s="257">
        <f ca="1">ABS(J80)/ABS(J52)-1</f>
        <v>0.1100000000000001</v>
      </c>
      <c r="Z52" s="257">
        <f ca="1">ABS(K80)/ABS(K52)-1</f>
        <v>7.0000000000000062E-2</v>
      </c>
      <c r="AA52" s="257">
        <f ca="1">ABS(L80)/ABS(L52)-1</f>
        <v>9.9999999999999867E-2</v>
      </c>
      <c r="AB52" s="257">
        <f ca="1">ABS(M80)/ABS(M52)-1</f>
        <v>7.0000000000000062E-2</v>
      </c>
    </row>
    <row r="53" spans="2:28" x14ac:dyDescent="0.25">
      <c r="B53" s="94" t="s">
        <v>88</v>
      </c>
      <c r="C53" s="129" t="s">
        <v>96</v>
      </c>
      <c r="D53" s="129" t="s">
        <v>97</v>
      </c>
      <c r="E53" s="142">
        <v>-13780.593245009448</v>
      </c>
      <c r="F53" s="142">
        <f t="shared" si="7"/>
        <v>-3733.0667753538551</v>
      </c>
      <c r="G53" s="142">
        <v>-13631.52415736773</v>
      </c>
      <c r="H53" s="142">
        <v>6194.476796663299</v>
      </c>
      <c r="I53" s="142">
        <f t="shared" ca="1" si="8"/>
        <v>-5880.0383864672303</v>
      </c>
      <c r="J53" s="142">
        <v>-805</v>
      </c>
      <c r="K53" s="142">
        <v>-16234.111118336599</v>
      </c>
      <c r="L53" s="142">
        <v>-11646.1733321508</v>
      </c>
      <c r="M53" s="142">
        <f t="shared" ca="1" si="9"/>
        <v>-13198.325570688523</v>
      </c>
      <c r="Q53" s="244" t="s">
        <v>88</v>
      </c>
      <c r="R53" s="245" t="s">
        <v>96</v>
      </c>
      <c r="S53" s="270" t="s">
        <v>97</v>
      </c>
      <c r="T53" s="257">
        <f ca="1">ABS(E81)/ABS(E53)-1</f>
        <v>0.11999999999999988</v>
      </c>
      <c r="U53" s="257">
        <f ca="1">ABS(F81)/ABS(F53)-1</f>
        <v>8.0000000000000071E-2</v>
      </c>
      <c r="V53" s="257">
        <f ca="1">ABS(G81)/ABS(G53)-1</f>
        <v>0.11999999999999988</v>
      </c>
      <c r="W53" s="257">
        <f ca="1">ABS(H81)/ABS(H53)-1</f>
        <v>0.11999999999999988</v>
      </c>
      <c r="X53" s="257">
        <f ca="1">ABS(I81)/ABS(I53)-1</f>
        <v>0.12999999999999989</v>
      </c>
      <c r="Y53" s="257">
        <f ca="1">ABS(J81)/ABS(J53)-1</f>
        <v>0.12000000000000011</v>
      </c>
      <c r="Z53" s="257">
        <f ca="1">ABS(K81)/ABS(K53)-1</f>
        <v>4.9999999999999822E-2</v>
      </c>
      <c r="AA53" s="257">
        <f ca="1">ABS(L81)/ABS(L53)-1</f>
        <v>8.9999999999999858E-2</v>
      </c>
      <c r="AB53" s="257">
        <f ca="1">ABS(M81)/ABS(M53)-1</f>
        <v>5.0000000000000044E-2</v>
      </c>
    </row>
    <row r="54" spans="2:28" x14ac:dyDescent="0.25">
      <c r="B54" s="94" t="s">
        <v>88</v>
      </c>
      <c r="C54" s="129" t="s">
        <v>99</v>
      </c>
      <c r="D54" s="129" t="s">
        <v>97</v>
      </c>
      <c r="E54" s="142">
        <v>421</v>
      </c>
      <c r="F54" s="142">
        <f t="shared" si="7"/>
        <v>-33407.613760503082</v>
      </c>
      <c r="G54" s="142">
        <v>10879.424930854571</v>
      </c>
      <c r="H54" s="142">
        <v>13711.585850735866</v>
      </c>
      <c r="I54" s="142">
        <f t="shared" ca="1" si="8"/>
        <v>2654.3225544595825</v>
      </c>
      <c r="J54" s="142">
        <v>-18956</v>
      </c>
      <c r="K54" s="142">
        <v>13479.903241214308</v>
      </c>
      <c r="L54" s="142">
        <v>-8955</v>
      </c>
      <c r="M54" s="142">
        <f t="shared" ca="1" si="9"/>
        <v>-24878.235897867711</v>
      </c>
      <c r="Q54" s="244" t="s">
        <v>88</v>
      </c>
      <c r="R54" s="245" t="s">
        <v>99</v>
      </c>
      <c r="S54" s="270" t="s">
        <v>97</v>
      </c>
      <c r="T54" s="257">
        <f ca="1">ABS(E82)/ABS(E54)-1</f>
        <v>0.1399999999999999</v>
      </c>
      <c r="U54" s="257">
        <f ca="1">ABS(F82)/ABS(F54)-1</f>
        <v>6.0000000000000053E-2</v>
      </c>
      <c r="V54" s="257">
        <f ca="1">ABS(G82)/ABS(G54)-1</f>
        <v>9.000000000000008E-2</v>
      </c>
      <c r="W54" s="257">
        <f ca="1">ABS(H82)/ABS(H54)-1</f>
        <v>7.9999999999999849E-2</v>
      </c>
      <c r="X54" s="257">
        <f ca="1">ABS(I82)/ABS(I54)-1</f>
        <v>4.9999999999999822E-2</v>
      </c>
      <c r="Y54" s="257">
        <f ca="1">ABS(J82)/ABS(J54)-1</f>
        <v>8.0000000000000071E-2</v>
      </c>
      <c r="Z54" s="257">
        <f ca="1">ABS(K82)/ABS(K54)-1</f>
        <v>9.000000000000008E-2</v>
      </c>
      <c r="AA54" s="257">
        <f ca="1">ABS(L82)/ABS(L54)-1</f>
        <v>0.14000000000000012</v>
      </c>
      <c r="AB54" s="257">
        <f ca="1">ABS(M82)/ABS(M54)-1</f>
        <v>8.9999999999999858E-2</v>
      </c>
    </row>
    <row r="55" spans="2:28" x14ac:dyDescent="0.25">
      <c r="B55" s="94" t="s">
        <v>89</v>
      </c>
      <c r="C55" s="129" t="s">
        <v>101</v>
      </c>
      <c r="D55" s="129" t="s">
        <v>97</v>
      </c>
      <c r="E55" s="142">
        <v>-2256</v>
      </c>
      <c r="F55" s="142">
        <f t="shared" si="7"/>
        <v>3349.4211501994778</v>
      </c>
      <c r="G55" s="142">
        <v>-4326.9581197418584</v>
      </c>
      <c r="H55" s="142">
        <v>-2495.5086626505627</v>
      </c>
      <c r="I55" s="142">
        <f t="shared" ca="1" si="8"/>
        <v>54.894354532722907</v>
      </c>
      <c r="J55" s="142">
        <v>3456</v>
      </c>
      <c r="K55" s="142">
        <v>-4201.5259748096287</v>
      </c>
      <c r="L55" s="142">
        <v>-956</v>
      </c>
      <c r="M55" s="142">
        <f t="shared" ca="1" si="9"/>
        <v>9145.5591140233391</v>
      </c>
      <c r="Q55" s="244" t="s">
        <v>89</v>
      </c>
      <c r="R55" s="245" t="s">
        <v>101</v>
      </c>
      <c r="S55" s="270" t="s">
        <v>97</v>
      </c>
      <c r="T55" s="257">
        <f ca="1">ABS(E83)/ABS(E55)-1</f>
        <v>7.0000000000000062E-2</v>
      </c>
      <c r="U55" s="257">
        <f ca="1">ABS(F83)/ABS(F55)-1</f>
        <v>5.9999999999999831E-2</v>
      </c>
      <c r="V55" s="257">
        <f ca="1">ABS(G83)/ABS(G55)-1</f>
        <v>8.0000000000000071E-2</v>
      </c>
      <c r="W55" s="257">
        <f ca="1">ABS(H83)/ABS(H55)-1</f>
        <v>6.999999999999984E-2</v>
      </c>
      <c r="X55" s="257">
        <f ca="1">ABS(I83)/ABS(I55)-1</f>
        <v>9.000000000000008E-2</v>
      </c>
      <c r="Y55" s="257">
        <f ca="1">ABS(J83)/ABS(J55)-1</f>
        <v>0.14000000000000012</v>
      </c>
      <c r="Z55" s="257">
        <f ca="1">ABS(K83)/ABS(K55)-1</f>
        <v>7.9999999999999849E-2</v>
      </c>
      <c r="AA55" s="257">
        <f ca="1">ABS(L83)/ABS(L55)-1</f>
        <v>8.0000000000000071E-2</v>
      </c>
      <c r="AB55" s="257">
        <f ca="1">ABS(M83)/ABS(M55)-1</f>
        <v>0.1100000000000001</v>
      </c>
    </row>
    <row r="56" spans="2:28" ht="15.75" thickBot="1" x14ac:dyDescent="0.3">
      <c r="B56" s="143" t="s">
        <v>91</v>
      </c>
      <c r="C56" s="144" t="s">
        <v>102</v>
      </c>
      <c r="D56" s="144" t="s">
        <v>97</v>
      </c>
      <c r="E56" s="146">
        <v>-18465</v>
      </c>
      <c r="F56" s="146">
        <f t="shared" si="7"/>
        <v>-53661.584267462051</v>
      </c>
      <c r="G56" s="146">
        <v>-35878.075714285456</v>
      </c>
      <c r="H56" s="146">
        <v>-23628.972164696457</v>
      </c>
      <c r="I56" s="146">
        <f t="shared" ca="1" si="8"/>
        <v>-20739.026152859169</v>
      </c>
      <c r="J56" s="146">
        <v>-20035</v>
      </c>
      <c r="K56" s="146">
        <v>-20935.606550563563</v>
      </c>
      <c r="L56" s="146">
        <v>-17967</v>
      </c>
      <c r="M56" s="146">
        <f t="shared" ca="1" si="9"/>
        <v>-43095.948058102542</v>
      </c>
      <c r="Q56" s="251" t="s">
        <v>91</v>
      </c>
      <c r="R56" s="252" t="s">
        <v>102</v>
      </c>
      <c r="S56" s="271" t="s">
        <v>97</v>
      </c>
      <c r="T56" s="261">
        <f ca="1">ABS(E84)/ABS(E56)-1</f>
        <v>0.10000000000000009</v>
      </c>
      <c r="U56" s="261">
        <f ca="1">ABS(F84)/ABS(F56)-1</f>
        <v>0.1399999999999999</v>
      </c>
      <c r="V56" s="261">
        <f ca="1">ABS(G84)/ABS(G56)-1</f>
        <v>4.9999999999999822E-2</v>
      </c>
      <c r="W56" s="261">
        <f ca="1">ABS(H84)/ABS(H56)-1</f>
        <v>0.15000000000000013</v>
      </c>
      <c r="X56" s="261">
        <f ca="1">ABS(I84)/ABS(I56)-1</f>
        <v>8.9999999999999858E-2</v>
      </c>
      <c r="Y56" s="261">
        <f ca="1">ABS(J84)/ABS(J56)-1</f>
        <v>0.14999999999999991</v>
      </c>
      <c r="Z56" s="261">
        <f ca="1">ABS(K84)/ABS(K56)-1</f>
        <v>0.1399999999999999</v>
      </c>
      <c r="AA56" s="261">
        <f ca="1">ABS(L84)/ABS(L56)-1</f>
        <v>0.10000000000000009</v>
      </c>
      <c r="AB56" s="261">
        <f ca="1">ABS(M84)/ABS(M56)-1</f>
        <v>0.13000000000000012</v>
      </c>
    </row>
    <row r="58" spans="2:28" ht="15.75" x14ac:dyDescent="0.25">
      <c r="B58" s="151" t="s">
        <v>103</v>
      </c>
      <c r="C58" s="151"/>
      <c r="D58" s="151"/>
    </row>
    <row r="59" spans="2:28" x14ac:dyDescent="0.25">
      <c r="B59" s="56" t="s">
        <v>80</v>
      </c>
      <c r="C59" s="136" t="s">
        <v>101</v>
      </c>
      <c r="D59" s="136" t="s">
        <v>97</v>
      </c>
      <c r="E59" s="138">
        <v>26821.125184602155</v>
      </c>
      <c r="F59" s="138">
        <v>78990.734753893761</v>
      </c>
      <c r="G59" s="138">
        <v>19698.46235950664</v>
      </c>
      <c r="H59" s="138">
        <v>46997.8306109931</v>
      </c>
      <c r="I59" s="138">
        <v>9300.8488549217927</v>
      </c>
      <c r="J59" s="138">
        <v>43883.59738484984</v>
      </c>
      <c r="K59" s="138">
        <v>21156.025059044056</v>
      </c>
      <c r="L59" s="138">
        <v>38387.57398923381</v>
      </c>
      <c r="M59" s="138">
        <v>54279.233310447562</v>
      </c>
    </row>
    <row r="60" spans="2:28" x14ac:dyDescent="0.25">
      <c r="B60" s="143" t="s">
        <v>88</v>
      </c>
      <c r="C60" s="144" t="s">
        <v>101</v>
      </c>
      <c r="D60" s="144" t="s">
        <v>97</v>
      </c>
      <c r="E60" s="146">
        <v>11083.172666975825</v>
      </c>
      <c r="F60" s="146">
        <v>32315.749012246335</v>
      </c>
      <c r="G60" s="146">
        <v>9410.9171596821525</v>
      </c>
      <c r="H60" s="146">
        <v>18704.719959948608</v>
      </c>
      <c r="I60" s="146">
        <v>7415.5389544927884</v>
      </c>
      <c r="J60" s="146">
        <v>17911.699569409488</v>
      </c>
      <c r="K60" s="146">
        <v>11273.302120053379</v>
      </c>
      <c r="L60" s="146">
        <v>15120.552326978666</v>
      </c>
      <c r="M60" s="146">
        <v>30931.60553125072</v>
      </c>
    </row>
    <row r="62" spans="2:28" ht="15.75" thickBot="1" x14ac:dyDescent="0.3"/>
    <row r="63" spans="2:28" ht="15.75" thickBot="1" x14ac:dyDescent="0.3">
      <c r="B63" s="212" t="s">
        <v>126</v>
      </c>
      <c r="C63" s="212"/>
      <c r="D63" s="212"/>
      <c r="G63" t="s">
        <v>128</v>
      </c>
      <c r="H63" t="s">
        <v>129</v>
      </c>
      <c r="I63" t="s">
        <v>128</v>
      </c>
      <c r="J63" t="s">
        <v>129</v>
      </c>
      <c r="K63" t="s">
        <v>128</v>
      </c>
      <c r="L63" t="s">
        <v>129</v>
      </c>
      <c r="Q63" s="233" t="s">
        <v>135</v>
      </c>
      <c r="R63" s="234"/>
      <c r="S63" s="234"/>
      <c r="T63" s="235"/>
      <c r="U63" s="235"/>
      <c r="V63" s="236"/>
      <c r="W63" s="236"/>
      <c r="X63" s="235"/>
      <c r="Y63" s="235"/>
      <c r="Z63" s="235"/>
      <c r="AA63" s="235"/>
      <c r="AB63" s="237"/>
    </row>
    <row r="64" spans="2:28" ht="30.75" thickBot="1" x14ac:dyDescent="0.3">
      <c r="E64" s="215" t="s">
        <v>23</v>
      </c>
      <c r="F64" s="215" t="s">
        <v>24</v>
      </c>
      <c r="G64" s="215" t="s">
        <v>120</v>
      </c>
      <c r="H64" s="215" t="s">
        <v>121</v>
      </c>
      <c r="I64" s="215" t="s">
        <v>76</v>
      </c>
      <c r="J64" s="215" t="s">
        <v>77</v>
      </c>
      <c r="K64" s="215" t="s">
        <v>78</v>
      </c>
      <c r="L64" s="215" t="s">
        <v>79</v>
      </c>
      <c r="M64" s="215" t="s">
        <v>31</v>
      </c>
      <c r="Q64" s="238"/>
      <c r="R64" s="239"/>
      <c r="S64" s="239"/>
      <c r="T64" s="215" t="s">
        <v>23</v>
      </c>
      <c r="U64" s="215" t="s">
        <v>24</v>
      </c>
      <c r="V64" s="216" t="s">
        <v>120</v>
      </c>
      <c r="W64" s="216" t="s">
        <v>121</v>
      </c>
      <c r="X64" s="215" t="s">
        <v>76</v>
      </c>
      <c r="Y64" s="215" t="s">
        <v>77</v>
      </c>
      <c r="Z64" s="215" t="s">
        <v>78</v>
      </c>
      <c r="AA64" s="215" t="s">
        <v>79</v>
      </c>
      <c r="AB64" s="215" t="s">
        <v>31</v>
      </c>
    </row>
    <row r="65" spans="1:28" ht="16.5" thickBot="1" x14ac:dyDescent="0.3">
      <c r="B65" s="151" t="s">
        <v>95</v>
      </c>
      <c r="C65" s="151"/>
      <c r="D65" s="151"/>
      <c r="Q65" s="240" t="s">
        <v>95</v>
      </c>
      <c r="R65" s="200"/>
      <c r="S65" s="200"/>
      <c r="T65" s="241"/>
      <c r="U65" s="241"/>
      <c r="V65" s="160"/>
      <c r="W65" s="160"/>
      <c r="X65" s="241"/>
      <c r="Y65" s="241"/>
      <c r="Z65" s="241"/>
      <c r="AA65" s="241"/>
      <c r="AB65" s="242"/>
    </row>
    <row r="66" spans="1:28" x14ac:dyDescent="0.25">
      <c r="A66" s="232" t="s">
        <v>137</v>
      </c>
      <c r="B66" s="56" t="s">
        <v>80</v>
      </c>
      <c r="C66" s="136" t="s">
        <v>96</v>
      </c>
      <c r="D66" s="136" t="s">
        <v>97</v>
      </c>
      <c r="E66" s="138">
        <f ca="1">E36*RANDBETWEEN(105,115)/100</f>
        <v>26650.181495795598</v>
      </c>
      <c r="F66" s="138">
        <f t="shared" ref="F66:M66" ca="1" si="10">F36*RANDBETWEEN(105,115)/100</f>
        <v>15992.704921080418</v>
      </c>
      <c r="G66" s="138">
        <f t="shared" ca="1" si="10"/>
        <v>3144.4452307217302</v>
      </c>
      <c r="H66" s="138">
        <f t="shared" ca="1" si="10"/>
        <v>11804.417634419</v>
      </c>
      <c r="I66" s="138">
        <f t="shared" ca="1" si="10"/>
        <v>-8041.4641452931683</v>
      </c>
      <c r="J66" s="138">
        <f t="shared" ca="1" si="10"/>
        <v>7992.9649239714563</v>
      </c>
      <c r="K66" s="138">
        <f t="shared" ca="1" si="10"/>
        <v>18336.993282091902</v>
      </c>
      <c r="L66" s="138">
        <f t="shared" ca="1" si="10"/>
        <v>34369.704575805939</v>
      </c>
      <c r="M66" s="138">
        <f t="shared" ca="1" si="10"/>
        <v>10865.668227375592</v>
      </c>
      <c r="Q66" s="243" t="s">
        <v>80</v>
      </c>
      <c r="R66" s="191" t="s">
        <v>96</v>
      </c>
      <c r="S66" s="191" t="s">
        <v>97</v>
      </c>
      <c r="T66" s="223">
        <f>ABS(E36)/ABS(E5) - 1</f>
        <v>-0.18606419511834438</v>
      </c>
      <c r="U66" s="224">
        <f t="shared" ref="U66:AB71" si="11">ABS(F36)/ABS(F5) - 1</f>
        <v>-1.1107908198381589E-2</v>
      </c>
      <c r="V66" s="218"/>
      <c r="W66" s="218"/>
      <c r="X66" s="225">
        <f t="shared" ca="1" si="11"/>
        <v>0.17000000000000015</v>
      </c>
      <c r="Y66" s="223">
        <f t="shared" ca="1" si="11"/>
        <v>0.14000000000000012</v>
      </c>
      <c r="Z66" s="223">
        <f t="shared" ca="1" si="11"/>
        <v>8.0000000000000071E-2</v>
      </c>
      <c r="AA66" s="223">
        <f t="shared" ca="1" si="11"/>
        <v>0.18000000000000016</v>
      </c>
      <c r="AB66" s="223">
        <f t="shared" ca="1" si="11"/>
        <v>-0.10000000000000009</v>
      </c>
    </row>
    <row r="67" spans="1:28" x14ac:dyDescent="0.25">
      <c r="A67" s="232"/>
      <c r="B67" s="94" t="s">
        <v>80</v>
      </c>
      <c r="C67" s="129" t="s">
        <v>99</v>
      </c>
      <c r="D67" s="129" t="s">
        <v>97</v>
      </c>
      <c r="E67" s="142">
        <f t="shared" ref="E67:M71" ca="1" si="12">E37*RANDBETWEEN(105,115)/100</f>
        <v>-16753.961145077938</v>
      </c>
      <c r="F67" s="142">
        <f t="shared" ref="F67:M67" ca="1" si="13">F37*RANDBETWEEN(105,115)/100</f>
        <v>17669.060146079501</v>
      </c>
      <c r="G67" s="142">
        <f t="shared" ca="1" si="13"/>
        <v>-16216.566505112287</v>
      </c>
      <c r="H67" s="142">
        <f t="shared" ca="1" si="13"/>
        <v>-8235.0884251452699</v>
      </c>
      <c r="I67" s="142">
        <f t="shared" ca="1" si="13"/>
        <v>-6966.1330987230922</v>
      </c>
      <c r="J67" s="142">
        <f t="shared" ca="1" si="13"/>
        <v>9085.8870524950416</v>
      </c>
      <c r="K67" s="142">
        <f t="shared" ca="1" si="13"/>
        <v>-22451.507182367946</v>
      </c>
      <c r="L67" s="142">
        <f t="shared" ca="1" si="13"/>
        <v>-11262.216714113858</v>
      </c>
      <c r="M67" s="142">
        <f t="shared" ca="1" si="13"/>
        <v>12758.544163414774</v>
      </c>
      <c r="Q67" s="244" t="s">
        <v>80</v>
      </c>
      <c r="R67" s="245" t="s">
        <v>99</v>
      </c>
      <c r="S67" s="245" t="s">
        <v>97</v>
      </c>
      <c r="T67" s="217">
        <f t="shared" ref="T67:T71" si="14">ABS(E37)/ABS(E6) - 1</f>
        <v>-3.583768929714426E-2</v>
      </c>
      <c r="U67" s="219">
        <f t="shared" si="11"/>
        <v>-1.1084662665895362E-2</v>
      </c>
      <c r="V67" s="220"/>
      <c r="W67" s="220"/>
      <c r="X67" s="221">
        <f t="shared" ca="1" si="11"/>
        <v>0.14000000000000012</v>
      </c>
      <c r="Y67" s="217">
        <f t="shared" ca="1" si="11"/>
        <v>0.20999999999999996</v>
      </c>
      <c r="Z67" s="217">
        <f t="shared" ca="1" si="11"/>
        <v>7.9999999999999849E-2</v>
      </c>
      <c r="AA67" s="217">
        <f t="shared" ca="1" si="11"/>
        <v>5.0000000000000044E-2</v>
      </c>
      <c r="AB67" s="217">
        <f t="shared" ca="1" si="11"/>
        <v>-0.12</v>
      </c>
    </row>
    <row r="68" spans="1:28" x14ac:dyDescent="0.25">
      <c r="A68" s="232"/>
      <c r="B68" s="94" t="s">
        <v>88</v>
      </c>
      <c r="C68" s="129" t="s">
        <v>96</v>
      </c>
      <c r="D68" s="129" t="s">
        <v>97</v>
      </c>
      <c r="E68" s="142">
        <f t="shared" ca="1" si="12"/>
        <v>-14961.237577709551</v>
      </c>
      <c r="F68" s="142">
        <f t="shared" ref="F68:M68" ca="1" si="15">F38*RANDBETWEEN(105,115)/100</f>
        <v>-2127.4732205093496</v>
      </c>
      <c r="G68" s="142">
        <f t="shared" ca="1" si="15"/>
        <v>-476.03408343947973</v>
      </c>
      <c r="H68" s="142">
        <f t="shared" ca="1" si="15"/>
        <v>-6324.9354374076829</v>
      </c>
      <c r="I68" s="142">
        <f t="shared" ca="1" si="15"/>
        <v>5797.3491642075351</v>
      </c>
      <c r="J68" s="142">
        <f t="shared" ca="1" si="15"/>
        <v>-2534.5272490752764</v>
      </c>
      <c r="K68" s="142">
        <f t="shared" ca="1" si="15"/>
        <v>-10294.735754851728</v>
      </c>
      <c r="L68" s="142">
        <f t="shared" ca="1" si="15"/>
        <v>-16096.748229304276</v>
      </c>
      <c r="M68" s="142">
        <f t="shared" ca="1" si="15"/>
        <v>-1493.5437284417812</v>
      </c>
      <c r="Q68" s="244" t="s">
        <v>88</v>
      </c>
      <c r="R68" s="245" t="s">
        <v>96</v>
      </c>
      <c r="S68" s="245" t="s">
        <v>97</v>
      </c>
      <c r="T68" s="217">
        <f t="shared" si="14"/>
        <v>-0.14945555560959445</v>
      </c>
      <c r="U68" s="219">
        <f t="shared" si="11"/>
        <v>-1.1086085065839857E-2</v>
      </c>
      <c r="V68" s="220"/>
      <c r="W68" s="220"/>
      <c r="X68" s="221">
        <f t="shared" ca="1" si="11"/>
        <v>0.10000000000000009</v>
      </c>
      <c r="Y68" s="217">
        <f t="shared" ca="1" si="11"/>
        <v>0.20999999999999996</v>
      </c>
      <c r="Z68" s="217">
        <f t="shared" ca="1" si="11"/>
        <v>3.0000000000000027E-2</v>
      </c>
      <c r="AA68" s="217">
        <f t="shared" ca="1" si="11"/>
        <v>6.999999999999984E-2</v>
      </c>
      <c r="AB68" s="217">
        <f t="shared" ca="1" si="11"/>
        <v>-0.12</v>
      </c>
    </row>
    <row r="69" spans="1:28" x14ac:dyDescent="0.25">
      <c r="A69" s="232"/>
      <c r="B69" s="94" t="s">
        <v>88</v>
      </c>
      <c r="C69" s="129" t="s">
        <v>99</v>
      </c>
      <c r="D69" s="129" t="s">
        <v>97</v>
      </c>
      <c r="E69" s="142">
        <f t="shared" ca="1" si="12"/>
        <v>8276.4400220883617</v>
      </c>
      <c r="F69" s="142">
        <f t="shared" ref="F69:M69" ca="1" si="16">F39*RANDBETWEEN(105,115)/100</f>
        <v>-1962.6678780832583</v>
      </c>
      <c r="G69" s="142">
        <f t="shared" ca="1" si="16"/>
        <v>9235.1481316962108</v>
      </c>
      <c r="H69" s="142">
        <f t="shared" ca="1" si="16"/>
        <v>5363.0713319152301</v>
      </c>
      <c r="I69" s="142">
        <f t="shared" ca="1" si="16"/>
        <v>4116.8727182055945</v>
      </c>
      <c r="J69" s="142">
        <f t="shared" ca="1" si="16"/>
        <v>-1715.7910891831013</v>
      </c>
      <c r="K69" s="142">
        <f t="shared" ca="1" si="16"/>
        <v>12886.733200151748</v>
      </c>
      <c r="L69" s="142">
        <f t="shared" ca="1" si="16"/>
        <v>7167.1268541638156</v>
      </c>
      <c r="M69" s="142">
        <f t="shared" ca="1" si="16"/>
        <v>-1394.4526340554596</v>
      </c>
      <c r="Q69" s="244" t="s">
        <v>88</v>
      </c>
      <c r="R69" s="245" t="s">
        <v>99</v>
      </c>
      <c r="S69" s="245" t="s">
        <v>97</v>
      </c>
      <c r="T69" s="217">
        <f t="shared" si="14"/>
        <v>-0.11829946618175247</v>
      </c>
      <c r="U69" s="219">
        <f t="shared" si="11"/>
        <v>-1.1093427888224872E-2</v>
      </c>
      <c r="V69" s="220"/>
      <c r="W69" s="220"/>
      <c r="X69" s="221">
        <f t="shared" ca="1" si="11"/>
        <v>0.18000000000000016</v>
      </c>
      <c r="Y69" s="217">
        <f t="shared" ca="1" si="11"/>
        <v>0.17999999999999994</v>
      </c>
      <c r="Z69" s="217">
        <f t="shared" ca="1" si="11"/>
        <v>0.14999999999999991</v>
      </c>
      <c r="AA69" s="217">
        <f t="shared" ca="1" si="11"/>
        <v>7.9999999999999849E-2</v>
      </c>
      <c r="AB69" s="217">
        <f t="shared" ca="1" si="11"/>
        <v>-0.10999999999999999</v>
      </c>
    </row>
    <row r="70" spans="1:28" x14ac:dyDescent="0.25">
      <c r="A70" s="232"/>
      <c r="B70" s="94" t="s">
        <v>89</v>
      </c>
      <c r="C70" s="129" t="s">
        <v>101</v>
      </c>
      <c r="D70" s="129" t="s">
        <v>97</v>
      </c>
      <c r="E70" s="142">
        <f t="shared" ca="1" si="12"/>
        <v>5306.1479994469628</v>
      </c>
      <c r="F70" s="142">
        <f t="shared" ref="F70:M70" ca="1" si="17">F40*RANDBETWEEN(105,115)/100</f>
        <v>-2113.6640947845995</v>
      </c>
      <c r="G70" s="142">
        <f t="shared" ca="1" si="17"/>
        <v>4975.9965138895541</v>
      </c>
      <c r="H70" s="142">
        <f t="shared" ca="1" si="17"/>
        <v>2855.5014990612999</v>
      </c>
      <c r="I70" s="142">
        <f t="shared" ca="1" si="17"/>
        <v>2003.2952673005138</v>
      </c>
      <c r="J70" s="142">
        <f t="shared" ca="1" si="17"/>
        <v>-1210.8966175926562</v>
      </c>
      <c r="K70" s="142">
        <f t="shared" ca="1" si="17"/>
        <v>6778.8069663728666</v>
      </c>
      <c r="L70" s="142">
        <f t="shared" ca="1" si="17"/>
        <v>3872.4744459144699</v>
      </c>
      <c r="M70" s="142">
        <f t="shared" ca="1" si="17"/>
        <v>-1467.0037162323233</v>
      </c>
      <c r="Q70" s="244" t="s">
        <v>89</v>
      </c>
      <c r="R70" s="245" t="s">
        <v>101</v>
      </c>
      <c r="S70" s="245" t="s">
        <v>97</v>
      </c>
      <c r="T70" s="217">
        <f t="shared" si="14"/>
        <v>-0.10228337003918542</v>
      </c>
      <c r="U70" s="219">
        <f t="shared" si="11"/>
        <v>-1.10970674905847E-2</v>
      </c>
      <c r="V70" s="220"/>
      <c r="W70" s="220"/>
      <c r="X70" s="221">
        <f t="shared" ca="1" si="11"/>
        <v>0.19999999999999996</v>
      </c>
      <c r="Y70" s="217">
        <f t="shared" ca="1" si="11"/>
        <v>7.9999999999999849E-2</v>
      </c>
      <c r="Z70" s="217">
        <f t="shared" ca="1" si="11"/>
        <v>0.12999999999999989</v>
      </c>
      <c r="AA70" s="217">
        <f t="shared" ca="1" si="11"/>
        <v>5.9999999999999831E-2</v>
      </c>
      <c r="AB70" s="217">
        <f t="shared" ca="1" si="11"/>
        <v>-0.13</v>
      </c>
    </row>
    <row r="71" spans="1:28" ht="15.75" thickBot="1" x14ac:dyDescent="0.3">
      <c r="A71" s="232"/>
      <c r="B71" s="143" t="s">
        <v>91</v>
      </c>
      <c r="C71" s="144" t="s">
        <v>102</v>
      </c>
      <c r="D71" s="144" t="s">
        <v>97</v>
      </c>
      <c r="E71" s="146">
        <f t="shared" ca="1" si="12"/>
        <v>-11401.95</v>
      </c>
      <c r="F71" s="146">
        <f t="shared" ref="F71:M71" ca="1" si="18">F41*RANDBETWEEN(105,115)/100</f>
        <v>-31832.691859966242</v>
      </c>
      <c r="G71" s="146">
        <f t="shared" ca="1" si="18"/>
        <v>-26647.679491107665</v>
      </c>
      <c r="H71" s="146">
        <f t="shared" ca="1" si="18"/>
        <v>-12474.433891206803</v>
      </c>
      <c r="I71" s="146">
        <f t="shared" ca="1" si="18"/>
        <v>-19610.65023165703</v>
      </c>
      <c r="J71" s="146">
        <f t="shared" ca="1" si="18"/>
        <v>-5987.8085329482738</v>
      </c>
      <c r="K71" s="146">
        <f t="shared" ca="1" si="18"/>
        <v>-20104.379668368209</v>
      </c>
      <c r="L71" s="146">
        <f t="shared" ca="1" si="18"/>
        <v>-7755.6590465046847</v>
      </c>
      <c r="M71" s="146">
        <f t="shared" ca="1" si="18"/>
        <v>-21304.425440207571</v>
      </c>
      <c r="Q71" s="246" t="s">
        <v>91</v>
      </c>
      <c r="R71" s="198" t="s">
        <v>102</v>
      </c>
      <c r="S71" s="198" t="s">
        <v>97</v>
      </c>
      <c r="T71" s="226">
        <f t="shared" si="14"/>
        <v>-3.8750891098402462E-2</v>
      </c>
      <c r="U71" s="227">
        <f t="shared" si="11"/>
        <v>-1.1086784544801831E-2</v>
      </c>
      <c r="V71" s="222"/>
      <c r="W71" s="222"/>
      <c r="X71" s="228">
        <f t="shared" ca="1" si="11"/>
        <v>0.12000000000000011</v>
      </c>
      <c r="Y71" s="226">
        <f t="shared" ca="1" si="11"/>
        <v>0.10000000000000009</v>
      </c>
      <c r="Z71" s="226">
        <f t="shared" ca="1" si="11"/>
        <v>0.12000000000000011</v>
      </c>
      <c r="AA71" s="226">
        <f t="shared" ca="1" si="11"/>
        <v>9.000000000000008E-2</v>
      </c>
      <c r="AB71" s="226">
        <f t="shared" ca="1" si="11"/>
        <v>-0.13000000000000012</v>
      </c>
    </row>
    <row r="72" spans="1:28" x14ac:dyDescent="0.25">
      <c r="Q72" s="247"/>
      <c r="R72" s="2"/>
      <c r="S72" s="2"/>
      <c r="T72" s="2"/>
      <c r="U72" s="2"/>
      <c r="V72" s="160"/>
      <c r="W72" s="160"/>
      <c r="X72" s="2"/>
      <c r="Y72" s="2"/>
      <c r="Z72" s="2"/>
      <c r="AA72" s="2"/>
      <c r="AB72" s="248"/>
    </row>
    <row r="73" spans="1:28" x14ac:dyDescent="0.25">
      <c r="Q73" s="247"/>
      <c r="R73" s="2"/>
      <c r="S73" s="2"/>
      <c r="T73" s="2"/>
      <c r="U73" s="2"/>
      <c r="V73" s="160"/>
      <c r="W73" s="160"/>
      <c r="X73" s="2"/>
      <c r="Y73" s="2"/>
      <c r="Z73" s="2"/>
      <c r="AA73" s="2"/>
      <c r="AB73" s="248"/>
    </row>
    <row r="74" spans="1:28" x14ac:dyDescent="0.25">
      <c r="Q74" s="247"/>
      <c r="R74" s="2"/>
      <c r="S74" s="2"/>
      <c r="T74" s="2"/>
      <c r="U74" s="2"/>
      <c r="V74" s="160"/>
      <c r="W74" s="160"/>
      <c r="X74" s="2"/>
      <c r="Y74" s="2"/>
      <c r="Z74" s="2"/>
      <c r="AA74" s="2"/>
      <c r="AB74" s="248"/>
    </row>
    <row r="75" spans="1:28" x14ac:dyDescent="0.25">
      <c r="Q75" s="247"/>
      <c r="R75" s="2"/>
      <c r="S75" s="2"/>
      <c r="T75" s="2"/>
      <c r="U75" s="2"/>
      <c r="V75" s="160"/>
      <c r="W75" s="160"/>
      <c r="X75" s="2"/>
      <c r="Y75" s="2"/>
      <c r="Z75" s="2"/>
      <c r="AA75" s="2"/>
      <c r="AB75" s="248"/>
    </row>
    <row r="76" spans="1:28" ht="15.75" thickBot="1" x14ac:dyDescent="0.3">
      <c r="B76" s="213" t="s">
        <v>127</v>
      </c>
      <c r="C76" s="213"/>
      <c r="D76" s="213"/>
      <c r="Q76" s="249" t="s">
        <v>136</v>
      </c>
      <c r="R76" s="250"/>
      <c r="S76" s="250"/>
      <c r="T76" s="2"/>
      <c r="U76" s="2"/>
      <c r="V76" s="160"/>
      <c r="W76" s="160"/>
      <c r="X76" s="2"/>
      <c r="Y76" s="2"/>
      <c r="Z76" s="2"/>
      <c r="AA76" s="2"/>
      <c r="AB76" s="248"/>
    </row>
    <row r="77" spans="1:28" ht="30.75" thickBot="1" x14ac:dyDescent="0.3">
      <c r="E77" s="215" t="s">
        <v>23</v>
      </c>
      <c r="F77" s="215" t="s">
        <v>24</v>
      </c>
      <c r="G77" s="215" t="s">
        <v>120</v>
      </c>
      <c r="H77" s="215" t="s">
        <v>121</v>
      </c>
      <c r="I77" s="215" t="s">
        <v>76</v>
      </c>
      <c r="J77" s="215" t="s">
        <v>77</v>
      </c>
      <c r="K77" s="215" t="s">
        <v>78</v>
      </c>
      <c r="L77" s="215" t="s">
        <v>79</v>
      </c>
      <c r="M77" s="215" t="s">
        <v>31</v>
      </c>
      <c r="Q77" s="247"/>
      <c r="R77" s="2"/>
      <c r="S77" s="2"/>
      <c r="T77" s="215" t="s">
        <v>23</v>
      </c>
      <c r="U77" s="215" t="s">
        <v>24</v>
      </c>
      <c r="V77" s="216" t="s">
        <v>120</v>
      </c>
      <c r="W77" s="216" t="s">
        <v>121</v>
      </c>
      <c r="X77" s="215" t="s">
        <v>76</v>
      </c>
      <c r="Y77" s="215" t="s">
        <v>77</v>
      </c>
      <c r="Z77" s="215" t="s">
        <v>78</v>
      </c>
      <c r="AA77" s="215" t="s">
        <v>79</v>
      </c>
      <c r="AB77" s="215" t="s">
        <v>31</v>
      </c>
    </row>
    <row r="78" spans="1:28" ht="16.5" thickBot="1" x14ac:dyDescent="0.3">
      <c r="B78" s="151" t="s">
        <v>95</v>
      </c>
      <c r="C78" s="151"/>
      <c r="D78" s="151"/>
      <c r="Q78" s="240" t="s">
        <v>95</v>
      </c>
      <c r="R78" s="200"/>
      <c r="S78" s="200"/>
      <c r="T78" s="241"/>
      <c r="U78" s="241"/>
      <c r="V78" s="160"/>
      <c r="W78" s="160"/>
      <c r="X78" s="241"/>
      <c r="Y78" s="241"/>
      <c r="Z78" s="241"/>
      <c r="AA78" s="241"/>
      <c r="AB78" s="242"/>
    </row>
    <row r="79" spans="1:28" ht="15" customHeight="1" x14ac:dyDescent="0.25">
      <c r="A79" s="232" t="s">
        <v>137</v>
      </c>
      <c r="B79" s="56" t="s">
        <v>80</v>
      </c>
      <c r="C79" s="136" t="s">
        <v>96</v>
      </c>
      <c r="D79" s="136" t="s">
        <v>97</v>
      </c>
      <c r="E79" s="138">
        <f ca="1">E51*RANDBETWEEN(105,115)/100</f>
        <v>32358.702084008317</v>
      </c>
      <c r="F79" s="138">
        <f t="shared" ref="F79:M79" ca="1" si="19">F51*RANDBETWEEN(105,115)/100</f>
        <v>38701.219140611349</v>
      </c>
      <c r="G79" s="138">
        <f t="shared" ca="1" si="19"/>
        <v>25195.337823357317</v>
      </c>
      <c r="H79" s="138">
        <f t="shared" ca="1" si="19"/>
        <v>-32991.493280966002</v>
      </c>
      <c r="I79" s="138">
        <f t="shared" ca="1" si="19"/>
        <v>7454.70718910091</v>
      </c>
      <c r="J79" s="138">
        <f t="shared" ca="1" si="19"/>
        <v>19105.259999999998</v>
      </c>
      <c r="K79" s="138">
        <f t="shared" ca="1" si="19"/>
        <v>29901.648430141704</v>
      </c>
      <c r="L79" s="138">
        <f t="shared" ca="1" si="19"/>
        <v>38082.855254142894</v>
      </c>
      <c r="M79" s="138">
        <f t="shared" ca="1" si="19"/>
        <v>23630.334025301854</v>
      </c>
      <c r="Q79" s="243" t="s">
        <v>80</v>
      </c>
      <c r="R79" s="191" t="s">
        <v>96</v>
      </c>
      <c r="S79" s="191" t="s">
        <v>97</v>
      </c>
      <c r="T79" s="223">
        <f>ABS(E51)/ABS(E20) - 1</f>
        <v>-0.21561362562883313</v>
      </c>
      <c r="U79" s="223">
        <f>ABS(F51)/ABS(F20) - 1</f>
        <v>1.0000000000000009E-2</v>
      </c>
      <c r="V79" s="223"/>
      <c r="W79" s="223"/>
      <c r="X79" s="223">
        <f ca="1">ABS(I51)/ABS(I20) - 1</f>
        <v>-0.10999999999999999</v>
      </c>
      <c r="Y79" s="223">
        <f>ABS(J51)/ABS(J20) - 1</f>
        <v>0.13813417001876904</v>
      </c>
      <c r="Z79" s="223">
        <f>ABS(K51)/ABS(K20) - 1</f>
        <v>-3.7556652713149341E-2</v>
      </c>
      <c r="AA79" s="223">
        <f>ABS(L51)/ABS(L20) - 1</f>
        <v>-4.2880911223503793E-2</v>
      </c>
      <c r="AB79" s="223">
        <f ca="1">ABS(M51)/ABS(M20) - 1</f>
        <v>-7.999999999999996E-2</v>
      </c>
    </row>
    <row r="80" spans="1:28" x14ac:dyDescent="0.25">
      <c r="A80" s="232"/>
      <c r="B80" s="94" t="s">
        <v>80</v>
      </c>
      <c r="C80" s="129" t="s">
        <v>99</v>
      </c>
      <c r="D80" s="129" t="s">
        <v>97</v>
      </c>
      <c r="E80" s="142">
        <f t="shared" ref="E80:M84" ca="1" si="20">E52*RANDBETWEEN(105,115)/100</f>
        <v>-3418.65</v>
      </c>
      <c r="F80" s="142">
        <f t="shared" ref="F80:M80" ca="1" si="21">F52*RANDBETWEEN(105,115)/100</f>
        <v>57494.061813002525</v>
      </c>
      <c r="G80" s="142">
        <f t="shared" ca="1" si="21"/>
        <v>-8699.0652872606533</v>
      </c>
      <c r="H80" s="142">
        <f t="shared" ca="1" si="21"/>
        <v>-26318.04373267238</v>
      </c>
      <c r="I80" s="142">
        <f t="shared" ca="1" si="21"/>
        <v>1759.7811164761981</v>
      </c>
      <c r="J80" s="142">
        <f t="shared" ca="1" si="21"/>
        <v>30516.193992876946</v>
      </c>
      <c r="K80" s="142">
        <f t="shared" ca="1" si="21"/>
        <v>-17708.675760589489</v>
      </c>
      <c r="L80" s="142">
        <f t="shared" ca="1" si="21"/>
        <v>9073.9</v>
      </c>
      <c r="M80" s="142">
        <f t="shared" ca="1" si="21"/>
        <v>44936.7222909353</v>
      </c>
      <c r="Q80" s="244" t="s">
        <v>80</v>
      </c>
      <c r="R80" s="245" t="s">
        <v>99</v>
      </c>
      <c r="S80" s="245" t="s">
        <v>97</v>
      </c>
      <c r="T80" s="217">
        <f>ABS(E52)/ABS(E21) - 1</f>
        <v>-2.9209702490540335E-2</v>
      </c>
      <c r="U80" s="217">
        <f>ABS(F52)/ABS(F21) - 1</f>
        <v>1.0000000000000009E-2</v>
      </c>
      <c r="V80" s="217"/>
      <c r="W80" s="217"/>
      <c r="X80" s="217">
        <f ca="1">ABS(I52)/ABS(I21) - 1</f>
        <v>-7.0000000000000173E-2</v>
      </c>
      <c r="Y80" s="217">
        <f>ABS(J52)/ABS(J21) - 1</f>
        <v>-4.3100278411617454E-2</v>
      </c>
      <c r="Z80" s="217">
        <f>ABS(K52)/ABS(K21) - 1</f>
        <v>0.21355057259711785</v>
      </c>
      <c r="AA80" s="217">
        <f>ABS(L52)/ABS(L21) - 1</f>
        <v>-7.6497545987892046E-2</v>
      </c>
      <c r="AB80" s="217">
        <f ca="1">ABS(M52)/ABS(M21) - 1</f>
        <v>-5.0000000000000155E-2</v>
      </c>
    </row>
    <row r="81" spans="1:28" x14ac:dyDescent="0.25">
      <c r="A81" s="232"/>
      <c r="B81" s="94" t="s">
        <v>88</v>
      </c>
      <c r="C81" s="129" t="s">
        <v>96</v>
      </c>
      <c r="D81" s="129" t="s">
        <v>97</v>
      </c>
      <c r="E81" s="142">
        <f t="shared" ca="1" si="20"/>
        <v>-15434.264434410581</v>
      </c>
      <c r="F81" s="142">
        <f t="shared" ref="F81:M81" ca="1" si="22">F53*RANDBETWEEN(105,115)/100</f>
        <v>-4031.7121173821633</v>
      </c>
      <c r="G81" s="142">
        <f t="shared" ca="1" si="22"/>
        <v>-15267.307056251857</v>
      </c>
      <c r="H81" s="142">
        <f t="shared" ca="1" si="22"/>
        <v>6937.8140122628947</v>
      </c>
      <c r="I81" s="142">
        <f t="shared" ca="1" si="22"/>
        <v>-6644.4433767079699</v>
      </c>
      <c r="J81" s="142">
        <f t="shared" ca="1" si="22"/>
        <v>-901.6</v>
      </c>
      <c r="K81" s="142">
        <f t="shared" ca="1" si="22"/>
        <v>-17045.816674253427</v>
      </c>
      <c r="L81" s="142">
        <f t="shared" ca="1" si="22"/>
        <v>-12694.328932044371</v>
      </c>
      <c r="M81" s="142">
        <f t="shared" ca="1" si="22"/>
        <v>-13858.24184922295</v>
      </c>
      <c r="Q81" s="244" t="s">
        <v>88</v>
      </c>
      <c r="R81" s="245" t="s">
        <v>96</v>
      </c>
      <c r="S81" s="245" t="s">
        <v>97</v>
      </c>
      <c r="T81" s="217">
        <f>ABS(E53)/ABS(E22) - 1</f>
        <v>-0.13034434366513659</v>
      </c>
      <c r="U81" s="217">
        <f>ABS(F53)/ABS(F22) - 1</f>
        <v>1.0000000000000009E-2</v>
      </c>
      <c r="V81" s="217"/>
      <c r="W81" s="217"/>
      <c r="X81" s="217">
        <f ca="1">ABS(I53)/ABS(I22) - 1</f>
        <v>-0.12000000000000011</v>
      </c>
      <c r="Y81" s="217">
        <f>ABS(J53)/ABS(J22) - 1</f>
        <v>0.10322743733418793</v>
      </c>
      <c r="Z81" s="217">
        <f>ABS(K53)/ABS(K22) - 1</f>
        <v>3.6105108552385357E-2</v>
      </c>
      <c r="AA81" s="217">
        <f>ABS(L53)/ABS(L22) - 1</f>
        <v>8.7585390443029931E-2</v>
      </c>
      <c r="AB81" s="217">
        <f ca="1">ABS(M53)/ABS(M22) - 1</f>
        <v>-3.0000000000000027E-2</v>
      </c>
    </row>
    <row r="82" spans="1:28" x14ac:dyDescent="0.25">
      <c r="A82" s="232"/>
      <c r="B82" s="94" t="s">
        <v>88</v>
      </c>
      <c r="C82" s="129" t="s">
        <v>99</v>
      </c>
      <c r="D82" s="129" t="s">
        <v>97</v>
      </c>
      <c r="E82" s="142">
        <f t="shared" ca="1" si="20"/>
        <v>479.94</v>
      </c>
      <c r="F82" s="142">
        <f t="shared" ref="F82:M82" ca="1" si="23">F54*RANDBETWEEN(105,115)/100</f>
        <v>-35412.070586133268</v>
      </c>
      <c r="G82" s="142">
        <f t="shared" ca="1" si="23"/>
        <v>11858.573174631483</v>
      </c>
      <c r="H82" s="142">
        <f t="shared" ca="1" si="23"/>
        <v>14808.512718794735</v>
      </c>
      <c r="I82" s="142">
        <f t="shared" ca="1" si="23"/>
        <v>2787.0386821825614</v>
      </c>
      <c r="J82" s="142">
        <f t="shared" ca="1" si="23"/>
        <v>-20472.48</v>
      </c>
      <c r="K82" s="142">
        <f t="shared" ca="1" si="23"/>
        <v>14693.094532923596</v>
      </c>
      <c r="L82" s="142">
        <f t="shared" ca="1" si="23"/>
        <v>-10208.700000000001</v>
      </c>
      <c r="M82" s="142">
        <f t="shared" ca="1" si="23"/>
        <v>-27117.277128675803</v>
      </c>
      <c r="Q82" s="244" t="s">
        <v>88</v>
      </c>
      <c r="R82" s="245" t="s">
        <v>99</v>
      </c>
      <c r="S82" s="245" t="s">
        <v>97</v>
      </c>
      <c r="T82" s="217">
        <f>ABS(E54)/ABS(E23) - 1</f>
        <v>-4.9140013377945824E-2</v>
      </c>
      <c r="U82" s="217">
        <f>ABS(F54)/ABS(F23) - 1</f>
        <v>1.0000000000000009E-2</v>
      </c>
      <c r="V82" s="217"/>
      <c r="W82" s="217"/>
      <c r="X82" s="217">
        <f ca="1">ABS(I54)/ABS(I23) - 1</f>
        <v>-5.9999999999999831E-2</v>
      </c>
      <c r="Y82" s="217">
        <f>ABS(J54)/ABS(J23) - 1</f>
        <v>-6.9701787828038708E-2</v>
      </c>
      <c r="Z82" s="217">
        <f>ABS(K54)/ABS(K23) - 1</f>
        <v>0.2831070992624789</v>
      </c>
      <c r="AA82" s="217">
        <f>ABS(L54)/ABS(L23) - 1</f>
        <v>1.4480564168923404E-2</v>
      </c>
      <c r="AB82" s="217">
        <f ca="1">ABS(M54)/ABS(M23) - 1</f>
        <v>-5.0000000000000044E-2</v>
      </c>
    </row>
    <row r="83" spans="1:28" x14ac:dyDescent="0.25">
      <c r="A83" s="232"/>
      <c r="B83" s="94" t="s">
        <v>89</v>
      </c>
      <c r="C83" s="129" t="s">
        <v>101</v>
      </c>
      <c r="D83" s="129" t="s">
        <v>97</v>
      </c>
      <c r="E83" s="142">
        <f t="shared" ca="1" si="20"/>
        <v>-2413.92</v>
      </c>
      <c r="F83" s="142">
        <f t="shared" ref="F83:M83" ca="1" si="24">F55*RANDBETWEEN(105,115)/100</f>
        <v>3550.3864192114461</v>
      </c>
      <c r="G83" s="142">
        <f t="shared" ca="1" si="24"/>
        <v>-4673.1147693212069</v>
      </c>
      <c r="H83" s="142">
        <f t="shared" ca="1" si="24"/>
        <v>-2670.1942690361016</v>
      </c>
      <c r="I83" s="142">
        <f t="shared" ca="1" si="24"/>
        <v>59.834846440667974</v>
      </c>
      <c r="J83" s="142">
        <f t="shared" ca="1" si="24"/>
        <v>3939.84</v>
      </c>
      <c r="K83" s="142">
        <f t="shared" ca="1" si="24"/>
        <v>-4537.6480527943986</v>
      </c>
      <c r="L83" s="142">
        <f t="shared" ca="1" si="24"/>
        <v>-1032.48</v>
      </c>
      <c r="M83" s="142">
        <f t="shared" ca="1" si="24"/>
        <v>10151.570616565907</v>
      </c>
      <c r="Q83" s="244" t="s">
        <v>89</v>
      </c>
      <c r="R83" s="245" t="s">
        <v>101</v>
      </c>
      <c r="S83" s="245" t="s">
        <v>97</v>
      </c>
      <c r="T83" s="217">
        <f>ABS(E55)/ABS(E24) - 1</f>
        <v>-7.1057438287660646E-2</v>
      </c>
      <c r="U83" s="217">
        <f>ABS(F55)/ABS(F24) - 1</f>
        <v>1.0000000000000009E-2</v>
      </c>
      <c r="V83" s="217"/>
      <c r="W83" s="217"/>
      <c r="X83" s="217">
        <f ca="1">ABS(I55)/ABS(I24) - 1</f>
        <v>-6.0000000000000053E-2</v>
      </c>
      <c r="Y83" s="217">
        <f>ABS(J55)/ABS(J24) - 1</f>
        <v>4.9260459893462505E-2</v>
      </c>
      <c r="Z83" s="217">
        <f>ABS(K55)/ABS(K24) - 1</f>
        <v>0.1968070598517766</v>
      </c>
      <c r="AA83" s="217">
        <f>ABS(L55)/ABS(L24) - 1</f>
        <v>0.17368200025823732</v>
      </c>
      <c r="AB83" s="217">
        <f ca="1">ABS(M55)/ABS(M24) - 1</f>
        <v>-4.0000000000000147E-2</v>
      </c>
    </row>
    <row r="84" spans="1:28" ht="15" customHeight="1" thickBot="1" x14ac:dyDescent="0.3">
      <c r="A84" s="232"/>
      <c r="B84" s="143" t="s">
        <v>91</v>
      </c>
      <c r="C84" s="144" t="s">
        <v>102</v>
      </c>
      <c r="D84" s="144" t="s">
        <v>97</v>
      </c>
      <c r="E84" s="146">
        <f t="shared" ca="1" si="20"/>
        <v>-20311.5</v>
      </c>
      <c r="F84" s="146">
        <f t="shared" ref="F84:M84" ca="1" si="25">F56*RANDBETWEEN(105,115)/100</f>
        <v>-61174.206064906735</v>
      </c>
      <c r="G84" s="146">
        <f t="shared" ca="1" si="25"/>
        <v>-37671.979499999725</v>
      </c>
      <c r="H84" s="146">
        <f t="shared" ca="1" si="25"/>
        <v>-27173.317989400926</v>
      </c>
      <c r="I84" s="146">
        <f t="shared" ca="1" si="25"/>
        <v>-22605.538506616493</v>
      </c>
      <c r="J84" s="146">
        <f t="shared" ca="1" si="25"/>
        <v>-23040.25</v>
      </c>
      <c r="K84" s="146">
        <f t="shared" ca="1" si="25"/>
        <v>-23866.591467642462</v>
      </c>
      <c r="L84" s="146">
        <f t="shared" ca="1" si="25"/>
        <v>-19763.7</v>
      </c>
      <c r="M84" s="146">
        <f t="shared" ca="1" si="25"/>
        <v>-48698.421305655873</v>
      </c>
      <c r="Q84" s="251" t="s">
        <v>91</v>
      </c>
      <c r="R84" s="252" t="s">
        <v>102</v>
      </c>
      <c r="S84" s="252" t="s">
        <v>97</v>
      </c>
      <c r="T84" s="226">
        <f>ABS(E56)/ABS(E25) - 1</f>
        <v>-4.0167084698581212E-2</v>
      </c>
      <c r="U84" s="226">
        <f>ABS(F56)/ABS(F25) - 1</f>
        <v>1.0000000000000009E-2</v>
      </c>
      <c r="V84" s="226"/>
      <c r="W84" s="226"/>
      <c r="X84" s="226">
        <f ca="1">ABS(I56)/ABS(I25) - 1</f>
        <v>-0.1100000000000001</v>
      </c>
      <c r="Y84" s="226">
        <f>ABS(J56)/ABS(J25) - 1</f>
        <v>9.8865361834871379E-2</v>
      </c>
      <c r="Z84" s="226">
        <f>ABS(K56)/ABS(K25) - 1</f>
        <v>-2.8858595639546958E-2</v>
      </c>
      <c r="AA84" s="226">
        <f>ABS(L56)/ABS(L25) - 1</f>
        <v>3.6611444167895746E-2</v>
      </c>
      <c r="AB84" s="226">
        <f ca="1">ABS(M56)/ABS(M25) - 1</f>
        <v>-3.0000000000000027E-2</v>
      </c>
    </row>
  </sheetData>
  <mergeCells count="20">
    <mergeCell ref="B78:D78"/>
    <mergeCell ref="A79:A84"/>
    <mergeCell ref="B63:D63"/>
    <mergeCell ref="Q63:S63"/>
    <mergeCell ref="B65:D65"/>
    <mergeCell ref="A66:A71"/>
    <mergeCell ref="B76:D76"/>
    <mergeCell ref="Q76:S76"/>
    <mergeCell ref="B35:D35"/>
    <mergeCell ref="B43:D43"/>
    <mergeCell ref="B48:D48"/>
    <mergeCell ref="Q48:S48"/>
    <mergeCell ref="B50:D50"/>
    <mergeCell ref="B58:D58"/>
    <mergeCell ref="B2:D2"/>
    <mergeCell ref="Q2:S2"/>
    <mergeCell ref="B17:D17"/>
    <mergeCell ref="Q17:S17"/>
    <mergeCell ref="B33:D33"/>
    <mergeCell ref="Q33:S33"/>
  </mergeCells>
  <conditionalFormatting sqref="E5:F10 I5:M1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3:F13 I13:M13">
    <cfRule type="colorScale" priority="19">
      <colorScale>
        <cfvo type="min"/>
        <cfvo type="max"/>
        <color rgb="FFFCFCFF"/>
        <color rgb="FFF8696B"/>
      </colorScale>
    </cfRule>
  </conditionalFormatting>
  <conditionalFormatting sqref="E14:F14 I14:M14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0:F25 I20:M25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8:F29 I28:M29">
    <cfRule type="dataBar" priority="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{94FFA25A-6105-4729-B86A-7B6A801C3D3F}</x14:id>
        </ext>
      </extLst>
    </cfRule>
  </conditionalFormatting>
  <conditionalFormatting sqref="E36:M4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4:M44">
    <cfRule type="colorScale" priority="16">
      <colorScale>
        <cfvo type="min"/>
        <cfvo type="max"/>
        <color rgb="FFFCFCFF"/>
        <color rgb="FFF8696B"/>
      </colorScale>
    </cfRule>
  </conditionalFormatting>
  <conditionalFormatting sqref="E45:M45">
    <cfRule type="colorScale" priority="17">
      <colorScale>
        <cfvo type="min"/>
        <cfvo type="max"/>
        <color rgb="FFFCFCFF"/>
        <color rgb="FFF8696B"/>
      </colorScale>
    </cfRule>
  </conditionalFormatting>
  <conditionalFormatting sqref="E51:M56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59:M60">
    <cfRule type="dataBar" priority="-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{6B07692E-62B8-4F8C-A4A9-84D3FA117317}</x14:id>
        </ext>
      </extLst>
    </cfRule>
  </conditionalFormatting>
  <conditionalFormatting sqref="E66:M7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79:M84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:U10 X5:AB10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21:U25 X20:AB25 U2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36:U41 X36:AB4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1:AB5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20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66:U71 X66:AB71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80:AB84 U79:AB7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7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5:U10 X5:AB10 T20:U25 X20:AB25 T36:AB41 T51:AB56 T66:AB71 T79:AB84">
    <cfRule type="colorScale" priority="3">
      <colorScale>
        <cfvo type="percent" val="0"/>
        <cfvo type="percent" val="15"/>
        <color rgb="FFFCFCFF"/>
        <color rgb="FF00FF00"/>
      </colorScale>
    </cfRule>
  </conditionalFormatting>
  <conditionalFormatting sqref="T36:AB41 T51:AB56">
    <cfRule type="colorScale" priority="2">
      <colorScale>
        <cfvo type="percent" val="2"/>
        <cfvo type="percentile" val="10"/>
        <cfvo type="percent" val="40"/>
        <color rgb="FFFCFCFF"/>
        <color rgb="FFFFDE75"/>
        <color rgb="FFFF896D"/>
      </colorScale>
    </cfRule>
  </conditionalFormatting>
  <conditionalFormatting sqref="T66:AB71 T79:AB84">
    <cfRule type="colorScale" priority="1">
      <colorScale>
        <cfvo type="min"/>
        <cfvo type="percentile" val="50"/>
        <cfvo type="max"/>
        <color rgb="FF00B050"/>
        <color theme="0"/>
        <color rgb="FFFF0000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FA25A-6105-4729-B86A-7B6A801C3D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E28:F29 I28:M29</xm:sqref>
        </x14:conditionalFormatting>
        <x14:conditionalFormatting xmlns:xm="http://schemas.microsoft.com/office/excel/2006/main">
          <x14:cfRule type="dataBar" id="{6B07692E-62B8-4F8C-A4A9-84D3FA1173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E59:M60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Replicate Old V04</vt:lpstr>
      <vt:lpstr>V04+Updated Car Spec</vt:lpstr>
      <vt:lpstr>FromData2021</vt:lpstr>
      <vt:lpstr>Load_cases_selectionForThesis</vt:lpstr>
      <vt:lpstr>Load_Compare_Design_Real_Canopy</vt:lpstr>
      <vt:lpstr>Front_Forces_FEA(Matlab)_21data</vt:lpstr>
      <vt:lpstr>Rear_Forces_FEA(Matlab)_21data</vt:lpstr>
      <vt:lpstr>Load_Compare_TRICK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Stefano.Rapisarda</dc:creator>
  <cp:lastModifiedBy>Matteo.Paganini</cp:lastModifiedBy>
  <dcterms:created xsi:type="dcterms:W3CDTF">2015-06-05T18:17:20Z</dcterms:created>
  <dcterms:modified xsi:type="dcterms:W3CDTF">2021-11-24T21:56:43Z</dcterms:modified>
</cp:coreProperties>
</file>